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05" windowWidth="17400" windowHeight="11700" tabRatio="943"/>
  </bookViews>
  <sheets>
    <sheet name="DATOS DE ENTRADA" sheetId="1" r:id="rId1"/>
    <sheet name="CO " sheetId="4" r:id="rId2"/>
    <sheet name="VT " sheetId="5" r:id="rId3"/>
    <sheet name="2 CARRILES HCM" sheetId="2" r:id="rId4"/>
    <sheet name="2 CARR CAP VIAL" sheetId="8" r:id="rId5"/>
    <sheet name="AUTOPIS CAPACIDAD VIAL" sheetId="7" r:id="rId6"/>
    <sheet name="N CARRILES HCM" sheetId="3" r:id="rId7"/>
    <sheet name="Cálculos análisis C-B " sheetId="6" r:id="rId8"/>
  </sheets>
  <externalReferences>
    <externalReference r:id="rId9"/>
  </externalReferences>
  <calcPr calcId="144525"/>
</workbook>
</file>

<file path=xl/calcChain.xml><?xml version="1.0" encoding="utf-8"?>
<calcChain xmlns="http://schemas.openxmlformats.org/spreadsheetml/2006/main">
  <c r="D22" i="1" l="1"/>
  <c r="F20" i="1"/>
  <c r="E20" i="1"/>
  <c r="D20" i="1"/>
  <c r="C19" i="1" l="1"/>
  <c r="G257" i="4" l="1"/>
  <c r="H251" i="3" l="1"/>
  <c r="H250" i="3"/>
  <c r="H248" i="3"/>
  <c r="H247" i="3"/>
  <c r="H245" i="3"/>
  <c r="H244" i="3"/>
  <c r="A236" i="3"/>
  <c r="E206" i="3"/>
  <c r="E204" i="3"/>
  <c r="E202" i="3"/>
  <c r="F196" i="3"/>
  <c r="F193" i="3"/>
  <c r="F190" i="3"/>
  <c r="G184" i="3"/>
  <c r="G180" i="3"/>
  <c r="G176" i="3"/>
  <c r="G178" i="3" s="1"/>
  <c r="F136" i="3"/>
  <c r="F135" i="3"/>
  <c r="B168" i="3" s="1"/>
  <c r="A168" i="3" s="1"/>
  <c r="F132" i="3"/>
  <c r="F131" i="3"/>
  <c r="B161" i="3" s="1"/>
  <c r="F128" i="3"/>
  <c r="F127" i="3"/>
  <c r="F121" i="3"/>
  <c r="F118" i="3"/>
  <c r="F115" i="3"/>
  <c r="L76" i="3"/>
  <c r="K76" i="3"/>
  <c r="L39" i="3"/>
  <c r="K39" i="3"/>
  <c r="L2" i="3"/>
  <c r="K2" i="3"/>
  <c r="J287" i="7"/>
  <c r="I287" i="7"/>
  <c r="J286" i="7"/>
  <c r="H286" i="7"/>
  <c r="G286" i="7"/>
  <c r="I286" i="7" s="1"/>
  <c r="F122" i="3" l="1"/>
  <c r="F116" i="3"/>
  <c r="A153" i="3"/>
  <c r="A157" i="3"/>
  <c r="A159" i="3"/>
  <c r="A155" i="3"/>
  <c r="A154" i="3"/>
  <c r="A156" i="3"/>
  <c r="A158" i="3"/>
  <c r="A161" i="3"/>
  <c r="G182" i="3"/>
  <c r="F191" i="3"/>
  <c r="F197" i="3"/>
  <c r="F119" i="3"/>
  <c r="A145" i="3"/>
  <c r="A146" i="3"/>
  <c r="A147" i="3"/>
  <c r="A148" i="3"/>
  <c r="A149" i="3"/>
  <c r="B150" i="3"/>
  <c r="A150" i="3" s="1"/>
  <c r="B151" i="3"/>
  <c r="B153" i="3"/>
  <c r="B154" i="3"/>
  <c r="B155" i="3"/>
  <c r="B156" i="3"/>
  <c r="B157" i="3"/>
  <c r="B158" i="3"/>
  <c r="B159" i="3"/>
  <c r="B162" i="3"/>
  <c r="B163" i="3"/>
  <c r="B164" i="3"/>
  <c r="B165" i="3"/>
  <c r="B166" i="3"/>
  <c r="B167" i="3"/>
  <c r="G186" i="3"/>
  <c r="F194" i="3"/>
  <c r="B145" i="3"/>
  <c r="B146" i="3"/>
  <c r="B147" i="3"/>
  <c r="B148" i="3"/>
  <c r="B149" i="3"/>
  <c r="A151" i="3"/>
  <c r="A162" i="3"/>
  <c r="A163" i="3"/>
  <c r="A164" i="3"/>
  <c r="A165" i="3"/>
  <c r="A166" i="3"/>
  <c r="A167" i="3"/>
  <c r="G162" i="7"/>
  <c r="F162" i="7"/>
  <c r="E162" i="7"/>
  <c r="F161" i="7"/>
  <c r="E161" i="7"/>
  <c r="F160" i="7"/>
  <c r="E160" i="7"/>
  <c r="F159" i="7"/>
  <c r="E159" i="7"/>
  <c r="G154" i="7"/>
  <c r="F154" i="7"/>
  <c r="E154" i="7"/>
  <c r="G153" i="7"/>
  <c r="F153" i="7"/>
  <c r="E153" i="7"/>
  <c r="F133" i="3" l="1"/>
  <c r="F301" i="7"/>
  <c r="F300" i="7"/>
  <c r="F299" i="7"/>
  <c r="F298" i="7"/>
  <c r="F297" i="7"/>
  <c r="E295" i="7"/>
  <c r="E301" i="7"/>
  <c r="E300" i="7"/>
  <c r="E299" i="7"/>
  <c r="E298" i="7"/>
  <c r="E297" i="7"/>
  <c r="F321" i="7"/>
  <c r="F320" i="7"/>
  <c r="F319" i="7"/>
  <c r="F318" i="7"/>
  <c r="F317" i="7"/>
  <c r="F316" i="7"/>
  <c r="E315" i="7"/>
  <c r="E321" i="7"/>
  <c r="E320" i="7"/>
  <c r="E319" i="7"/>
  <c r="E318" i="7"/>
  <c r="E317" i="7"/>
  <c r="E316" i="7"/>
  <c r="F137" i="3"/>
  <c r="E213" i="3" s="1"/>
  <c r="E311" i="7"/>
  <c r="E310" i="7"/>
  <c r="E309" i="7"/>
  <c r="F307" i="7"/>
  <c r="F311" i="7"/>
  <c r="F310" i="7"/>
  <c r="F309" i="7"/>
  <c r="F308" i="7"/>
  <c r="E308" i="7" s="1"/>
  <c r="E307" i="7"/>
  <c r="G159" i="7"/>
  <c r="G160" i="7"/>
  <c r="G161" i="7"/>
  <c r="F129" i="3"/>
  <c r="G150" i="7"/>
  <c r="F150" i="7"/>
  <c r="E150" i="7"/>
  <c r="A126" i="7"/>
  <c r="L39" i="7"/>
  <c r="K39" i="7"/>
  <c r="L2" i="7"/>
  <c r="K2" i="7"/>
  <c r="I193" i="7" l="1"/>
  <c r="G193" i="7"/>
  <c r="E193" i="7"/>
  <c r="C193" i="7"/>
  <c r="A193" i="7"/>
  <c r="I192" i="7"/>
  <c r="G192" i="7"/>
  <c r="E192" i="7"/>
  <c r="C192" i="7"/>
  <c r="A192" i="7"/>
  <c r="I191" i="7"/>
  <c r="G191" i="7"/>
  <c r="E191" i="7"/>
  <c r="C191" i="7"/>
  <c r="A191" i="7"/>
  <c r="I190" i="7"/>
  <c r="G190" i="7"/>
  <c r="G198" i="7" s="1"/>
  <c r="E190" i="7"/>
  <c r="E198" i="7" s="1"/>
  <c r="C190" i="7"/>
  <c r="C198" i="7" s="1"/>
  <c r="A190" i="7"/>
  <c r="I189" i="7"/>
  <c r="G189" i="7"/>
  <c r="E189" i="7"/>
  <c r="C189" i="7"/>
  <c r="A189" i="7"/>
  <c r="I188" i="7"/>
  <c r="G188" i="7"/>
  <c r="E188" i="7"/>
  <c r="C188" i="7"/>
  <c r="A188" i="7"/>
  <c r="I187" i="7"/>
  <c r="G187" i="7"/>
  <c r="E187" i="7"/>
  <c r="C187" i="7"/>
  <c r="A187" i="7"/>
  <c r="J193" i="7"/>
  <c r="H193" i="7"/>
  <c r="F193" i="7"/>
  <c r="D193" i="7"/>
  <c r="B193" i="7"/>
  <c r="J192" i="7"/>
  <c r="H192" i="7"/>
  <c r="F192" i="7"/>
  <c r="D192" i="7"/>
  <c r="B192" i="7"/>
  <c r="J191" i="7"/>
  <c r="H191" i="7"/>
  <c r="F191" i="7"/>
  <c r="D191" i="7"/>
  <c r="B191" i="7"/>
  <c r="J190" i="7"/>
  <c r="H190" i="7"/>
  <c r="H198" i="7" s="1"/>
  <c r="F190" i="7"/>
  <c r="F198" i="7" s="1"/>
  <c r="D190" i="7"/>
  <c r="D198" i="7" s="1"/>
  <c r="B190" i="7"/>
  <c r="B198" i="7" s="1"/>
  <c r="J189" i="7"/>
  <c r="H189" i="7"/>
  <c r="F189" i="7"/>
  <c r="D189" i="7"/>
  <c r="B189" i="7"/>
  <c r="J188" i="7"/>
  <c r="H188" i="7"/>
  <c r="F188" i="7"/>
  <c r="D188" i="7"/>
  <c r="B188" i="7"/>
  <c r="J187" i="7"/>
  <c r="H187" i="7"/>
  <c r="F187" i="7"/>
  <c r="D187" i="7"/>
  <c r="B187" i="7"/>
  <c r="I258" i="7"/>
  <c r="G258" i="7"/>
  <c r="E258" i="7"/>
  <c r="C258" i="7"/>
  <c r="A258" i="7"/>
  <c r="I257" i="7"/>
  <c r="G257" i="7"/>
  <c r="E257" i="7"/>
  <c r="C257" i="7"/>
  <c r="A257" i="7"/>
  <c r="I256" i="7"/>
  <c r="G256" i="7"/>
  <c r="E256" i="7"/>
  <c r="C256" i="7"/>
  <c r="A256" i="7"/>
  <c r="I255" i="7"/>
  <c r="G255" i="7"/>
  <c r="E255" i="7"/>
  <c r="C255" i="7"/>
  <c r="A255" i="7"/>
  <c r="I254" i="7"/>
  <c r="G254" i="7"/>
  <c r="E254" i="7"/>
  <c r="C254" i="7"/>
  <c r="B254" i="7" s="1"/>
  <c r="J253" i="7"/>
  <c r="J263" i="7" s="1"/>
  <c r="F267" i="7" s="1"/>
  <c r="H253" i="7"/>
  <c r="H263" i="7" s="1"/>
  <c r="F253" i="7"/>
  <c r="F263" i="7" s="1"/>
  <c r="D253" i="7"/>
  <c r="D263" i="7" s="1"/>
  <c r="B253" i="7"/>
  <c r="J252" i="7"/>
  <c r="H252" i="7"/>
  <c r="F252" i="7"/>
  <c r="D252" i="7"/>
  <c r="B252" i="7"/>
  <c r="J258" i="7"/>
  <c r="H258" i="7"/>
  <c r="F258" i="7"/>
  <c r="D258" i="7"/>
  <c r="B258" i="7"/>
  <c r="J257" i="7"/>
  <c r="H257" i="7"/>
  <c r="F257" i="7"/>
  <c r="D257" i="7"/>
  <c r="B257" i="7"/>
  <c r="J256" i="7"/>
  <c r="H256" i="7"/>
  <c r="F256" i="7"/>
  <c r="D256" i="7"/>
  <c r="B256" i="7"/>
  <c r="J255" i="7"/>
  <c r="H255" i="7"/>
  <c r="F255" i="7"/>
  <c r="D255" i="7"/>
  <c r="B255" i="7"/>
  <c r="B263" i="7" s="1"/>
  <c r="J254" i="7"/>
  <c r="H254" i="7"/>
  <c r="F254" i="7"/>
  <c r="D254" i="7"/>
  <c r="A254" i="7"/>
  <c r="I253" i="7"/>
  <c r="I263" i="7" s="1"/>
  <c r="G253" i="7"/>
  <c r="G263" i="7" s="1"/>
  <c r="E253" i="7"/>
  <c r="E263" i="7" s="1"/>
  <c r="C253" i="7"/>
  <c r="C263" i="7" s="1"/>
  <c r="A253" i="7"/>
  <c r="I252" i="7"/>
  <c r="G252" i="7"/>
  <c r="E252" i="7"/>
  <c r="C252" i="7"/>
  <c r="A252" i="7"/>
  <c r="E211" i="3"/>
  <c r="F284" i="3"/>
  <c r="D284" i="3"/>
  <c r="H283" i="3"/>
  <c r="F283" i="3"/>
  <c r="D283" i="3"/>
  <c r="B283" i="3"/>
  <c r="G282" i="3"/>
  <c r="E282" i="3"/>
  <c r="C282" i="3"/>
  <c r="H284" i="3"/>
  <c r="G284" i="3" s="1"/>
  <c r="E284" i="3"/>
  <c r="C284" i="3"/>
  <c r="G283" i="3"/>
  <c r="E283" i="3"/>
  <c r="C283" i="3"/>
  <c r="H282" i="3"/>
  <c r="F282" i="3"/>
  <c r="D282" i="3"/>
  <c r="J226" i="7"/>
  <c r="H226" i="7"/>
  <c r="F226" i="7"/>
  <c r="D226" i="7"/>
  <c r="B226" i="7"/>
  <c r="J225" i="7"/>
  <c r="H225" i="7"/>
  <c r="F225" i="7"/>
  <c r="D225" i="7"/>
  <c r="B225" i="7"/>
  <c r="J224" i="7"/>
  <c r="H224" i="7"/>
  <c r="F224" i="7"/>
  <c r="D224" i="7"/>
  <c r="B224" i="7"/>
  <c r="J223" i="7"/>
  <c r="H223" i="7"/>
  <c r="F223" i="7"/>
  <c r="D223" i="7"/>
  <c r="B223" i="7"/>
  <c r="B231" i="7" s="1"/>
  <c r="J222" i="7"/>
  <c r="H222" i="7"/>
  <c r="F222" i="7"/>
  <c r="D222" i="7"/>
  <c r="B222" i="7"/>
  <c r="J221" i="7"/>
  <c r="H221" i="7"/>
  <c r="H231" i="7" s="1"/>
  <c r="F221" i="7"/>
  <c r="F231" i="7" s="1"/>
  <c r="D221" i="7"/>
  <c r="D231" i="7" s="1"/>
  <c r="B221" i="7"/>
  <c r="J220" i="7"/>
  <c r="I226" i="7"/>
  <c r="G226" i="7"/>
  <c r="E226" i="7"/>
  <c r="C226" i="7"/>
  <c r="A226" i="7"/>
  <c r="I225" i="7"/>
  <c r="G225" i="7"/>
  <c r="E225" i="7"/>
  <c r="C225" i="7"/>
  <c r="A225" i="7"/>
  <c r="I224" i="7"/>
  <c r="G224" i="7"/>
  <c r="E224" i="7"/>
  <c r="C224" i="7"/>
  <c r="A224" i="7"/>
  <c r="I223" i="7"/>
  <c r="G223" i="7"/>
  <c r="E223" i="7"/>
  <c r="C223" i="7"/>
  <c r="A223" i="7"/>
  <c r="I222" i="7"/>
  <c r="G222" i="7"/>
  <c r="E222" i="7"/>
  <c r="C222" i="7"/>
  <c r="A222" i="7"/>
  <c r="I221" i="7"/>
  <c r="G221" i="7"/>
  <c r="G231" i="7" s="1"/>
  <c r="E221" i="7"/>
  <c r="C221" i="7"/>
  <c r="C231" i="7" s="1"/>
  <c r="A221" i="7"/>
  <c r="I220" i="7"/>
  <c r="H220" i="7"/>
  <c r="F220" i="7"/>
  <c r="D220" i="7"/>
  <c r="B220" i="7"/>
  <c r="E220" i="7"/>
  <c r="C220" i="7"/>
  <c r="A220" i="7"/>
  <c r="G220" i="7"/>
  <c r="B265" i="8"/>
  <c r="B264" i="8"/>
  <c r="B263" i="8"/>
  <c r="B262" i="8"/>
  <c r="B261" i="8"/>
  <c r="B260" i="8"/>
  <c r="B259" i="8"/>
  <c r="N190" i="8"/>
  <c r="L190" i="8"/>
  <c r="J190" i="8"/>
  <c r="H190" i="8"/>
  <c r="F190" i="8"/>
  <c r="N189" i="8"/>
  <c r="L189" i="8"/>
  <c r="J189" i="8"/>
  <c r="H189" i="8"/>
  <c r="F189" i="8"/>
  <c r="N188" i="8"/>
  <c r="L188" i="8"/>
  <c r="J188" i="8"/>
  <c r="H188" i="8"/>
  <c r="F188" i="8"/>
  <c r="N187" i="8"/>
  <c r="L187" i="8"/>
  <c r="J187" i="8"/>
  <c r="H187" i="8"/>
  <c r="F187" i="8"/>
  <c r="N186" i="8"/>
  <c r="L186" i="8"/>
  <c r="J186" i="8"/>
  <c r="H186" i="8"/>
  <c r="F186" i="8"/>
  <c r="N183" i="8"/>
  <c r="L183" i="8"/>
  <c r="J183" i="8"/>
  <c r="H183" i="8"/>
  <c r="F183" i="8"/>
  <c r="N182" i="8"/>
  <c r="L182" i="8"/>
  <c r="J182" i="8"/>
  <c r="H182" i="8"/>
  <c r="F182" i="8"/>
  <c r="N181" i="8"/>
  <c r="L181" i="8"/>
  <c r="J181" i="8"/>
  <c r="H181" i="8"/>
  <c r="F181" i="8"/>
  <c r="N180" i="8"/>
  <c r="L180" i="8"/>
  <c r="J180" i="8"/>
  <c r="H180" i="8"/>
  <c r="F180" i="8"/>
  <c r="N179" i="8"/>
  <c r="L179" i="8"/>
  <c r="J179" i="8"/>
  <c r="H179" i="8"/>
  <c r="F179" i="8"/>
  <c r="N176" i="8"/>
  <c r="L176" i="8"/>
  <c r="J176" i="8"/>
  <c r="H176" i="8"/>
  <c r="F176" i="8"/>
  <c r="N175" i="8"/>
  <c r="L175" i="8"/>
  <c r="J175" i="8"/>
  <c r="H175" i="8"/>
  <c r="F175" i="8"/>
  <c r="N174" i="8"/>
  <c r="L174" i="8"/>
  <c r="J174" i="8"/>
  <c r="H174" i="8"/>
  <c r="F174" i="8"/>
  <c r="N173" i="8"/>
  <c r="L173" i="8"/>
  <c r="J173" i="8"/>
  <c r="H173" i="8"/>
  <c r="F173" i="8"/>
  <c r="N172" i="8"/>
  <c r="L172" i="8"/>
  <c r="J172" i="8"/>
  <c r="H172" i="8"/>
  <c r="F172" i="8"/>
  <c r="F159" i="8"/>
  <c r="F151" i="8"/>
  <c r="F152" i="8" s="1"/>
  <c r="E267" i="7" l="1"/>
  <c r="D267" i="7"/>
  <c r="G152" i="7" s="1"/>
  <c r="E231" i="7"/>
  <c r="C267" i="7"/>
  <c r="B267" i="7" s="1"/>
  <c r="F235" i="7"/>
  <c r="E235" i="7" s="1"/>
  <c r="D235" i="7" s="1"/>
  <c r="C235" i="7" s="1"/>
  <c r="B235" i="7" s="1"/>
  <c r="J231" i="7" s="1"/>
  <c r="I231" i="7" s="1"/>
  <c r="E209" i="3"/>
  <c r="G279" i="3"/>
  <c r="E279" i="3"/>
  <c r="C279" i="3"/>
  <c r="G278" i="3"/>
  <c r="E278" i="3"/>
  <c r="C278" i="3"/>
  <c r="H277" i="3"/>
  <c r="F277" i="3"/>
  <c r="D277" i="3"/>
  <c r="H279" i="3"/>
  <c r="F279" i="3"/>
  <c r="D279" i="3"/>
  <c r="H278" i="3"/>
  <c r="F278" i="3"/>
  <c r="D278" i="3"/>
  <c r="B278" i="3"/>
  <c r="G277" i="3"/>
  <c r="E277" i="3"/>
  <c r="C277" i="3"/>
  <c r="F143" i="8"/>
  <c r="F144" i="8" s="1"/>
  <c r="G139" i="8"/>
  <c r="F139" i="8"/>
  <c r="E139" i="8"/>
  <c r="F138" i="8"/>
  <c r="E138" i="8"/>
  <c r="F137" i="8"/>
  <c r="E137" i="8"/>
  <c r="F136" i="8"/>
  <c r="E136" i="8"/>
  <c r="G132" i="8"/>
  <c r="F132" i="8"/>
  <c r="E132" i="8"/>
  <c r="G131" i="8"/>
  <c r="F131" i="8"/>
  <c r="E131" i="8"/>
  <c r="F129" i="8"/>
  <c r="E129" i="8"/>
  <c r="F121" i="8"/>
  <c r="F127" i="8" s="1"/>
  <c r="E121" i="8"/>
  <c r="E127" i="8" s="1"/>
  <c r="G120" i="8"/>
  <c r="F120" i="8"/>
  <c r="E120" i="8"/>
  <c r="C309" i="8" l="1"/>
  <c r="C307" i="8"/>
  <c r="C305" i="8"/>
  <c r="C303" i="8"/>
  <c r="C301" i="8"/>
  <c r="C308" i="8"/>
  <c r="C306" i="8"/>
  <c r="C304" i="8"/>
  <c r="C302" i="8"/>
  <c r="C300" i="8"/>
  <c r="C203" i="8"/>
  <c r="O202" i="8"/>
  <c r="M202" i="8"/>
  <c r="K202" i="8"/>
  <c r="I202" i="8"/>
  <c r="G202" i="8"/>
  <c r="E202" i="8"/>
  <c r="C202" i="8"/>
  <c r="O201" i="8"/>
  <c r="M201" i="8"/>
  <c r="K201" i="8"/>
  <c r="I201" i="8"/>
  <c r="G201" i="8"/>
  <c r="E201" i="8"/>
  <c r="C201" i="8"/>
  <c r="O200" i="8"/>
  <c r="M200" i="8"/>
  <c r="K200" i="8"/>
  <c r="I200" i="8"/>
  <c r="G200" i="8"/>
  <c r="E200" i="8"/>
  <c r="C200" i="8"/>
  <c r="A200" i="8"/>
  <c r="N199" i="8"/>
  <c r="L199" i="8"/>
  <c r="J199" i="8"/>
  <c r="E123" i="8" s="1"/>
  <c r="H199" i="8"/>
  <c r="F199" i="8"/>
  <c r="D199" i="8"/>
  <c r="B199" i="8"/>
  <c r="N198" i="8"/>
  <c r="L198" i="8"/>
  <c r="J198" i="8"/>
  <c r="H198" i="8"/>
  <c r="F198" i="8"/>
  <c r="D198" i="8"/>
  <c r="B198" i="8"/>
  <c r="B203" i="8"/>
  <c r="N202" i="8"/>
  <c r="L202" i="8"/>
  <c r="J202" i="8"/>
  <c r="E126" i="8" s="1"/>
  <c r="H202" i="8"/>
  <c r="F202" i="8"/>
  <c r="D202" i="8"/>
  <c r="B202" i="8"/>
  <c r="N201" i="8"/>
  <c r="L201" i="8"/>
  <c r="J201" i="8"/>
  <c r="E125" i="8" s="1"/>
  <c r="H201" i="8"/>
  <c r="F201" i="8"/>
  <c r="D201" i="8"/>
  <c r="B201" i="8"/>
  <c r="N200" i="8"/>
  <c r="L200" i="8"/>
  <c r="J200" i="8"/>
  <c r="E124" i="8" s="1"/>
  <c r="H200" i="8"/>
  <c r="F200" i="8"/>
  <c r="D200" i="8"/>
  <c r="B200" i="8"/>
  <c r="O199" i="8"/>
  <c r="M199" i="8"/>
  <c r="K199" i="8"/>
  <c r="I199" i="8"/>
  <c r="G199" i="8"/>
  <c r="E199" i="8"/>
  <c r="C199" i="8"/>
  <c r="O198" i="8"/>
  <c r="M198" i="8"/>
  <c r="K198" i="8"/>
  <c r="I198" i="8"/>
  <c r="G198" i="8"/>
  <c r="E198" i="8"/>
  <c r="C198" i="8"/>
  <c r="I309" i="8"/>
  <c r="I307" i="8"/>
  <c r="I305" i="8"/>
  <c r="I303" i="8"/>
  <c r="I301" i="8"/>
  <c r="I308" i="8"/>
  <c r="I306" i="8"/>
  <c r="I304" i="8"/>
  <c r="I302" i="8"/>
  <c r="I300" i="8"/>
  <c r="D227" i="8"/>
  <c r="B227" i="8"/>
  <c r="N226" i="8"/>
  <c r="L226" i="8"/>
  <c r="J226" i="8"/>
  <c r="H226" i="8"/>
  <c r="F226" i="8"/>
  <c r="D226" i="8"/>
  <c r="B226" i="8"/>
  <c r="N225" i="8"/>
  <c r="L225" i="8"/>
  <c r="J225" i="8"/>
  <c r="H225" i="8"/>
  <c r="F225" i="8"/>
  <c r="D225" i="8"/>
  <c r="B225" i="8"/>
  <c r="N224" i="8"/>
  <c r="L224" i="8"/>
  <c r="J224" i="8"/>
  <c r="H224" i="8"/>
  <c r="F224" i="8"/>
  <c r="D224" i="8"/>
  <c r="B224" i="8"/>
  <c r="O223" i="8"/>
  <c r="M223" i="8"/>
  <c r="K223" i="8"/>
  <c r="I223" i="8"/>
  <c r="G223" i="8"/>
  <c r="E223" i="8"/>
  <c r="C223" i="8"/>
  <c r="O222" i="8"/>
  <c r="M222" i="8"/>
  <c r="K222" i="8"/>
  <c r="I222" i="8"/>
  <c r="G222" i="8"/>
  <c r="E222" i="8"/>
  <c r="D222" i="8" s="1"/>
  <c r="B222" i="8"/>
  <c r="C227" i="8"/>
  <c r="O226" i="8"/>
  <c r="M226" i="8"/>
  <c r="K226" i="8"/>
  <c r="I226" i="8"/>
  <c r="G226" i="8"/>
  <c r="E226" i="8"/>
  <c r="C226" i="8"/>
  <c r="O225" i="8"/>
  <c r="M225" i="8"/>
  <c r="K225" i="8"/>
  <c r="I225" i="8"/>
  <c r="G225" i="8"/>
  <c r="E225" i="8"/>
  <c r="C225" i="8"/>
  <c r="O224" i="8"/>
  <c r="M224" i="8"/>
  <c r="K224" i="8"/>
  <c r="I224" i="8"/>
  <c r="G224" i="8"/>
  <c r="E224" i="8"/>
  <c r="C224" i="8"/>
  <c r="A224" i="8"/>
  <c r="N223" i="8"/>
  <c r="L223" i="8"/>
  <c r="J223" i="8"/>
  <c r="H223" i="8"/>
  <c r="F223" i="8"/>
  <c r="D223" i="8"/>
  <c r="B223" i="8"/>
  <c r="N222" i="8"/>
  <c r="L222" i="8"/>
  <c r="J222" i="8"/>
  <c r="H222" i="8"/>
  <c r="F222" i="8"/>
  <c r="C222" i="8"/>
  <c r="F281" i="8"/>
  <c r="F280" i="8"/>
  <c r="F279" i="8"/>
  <c r="F278" i="8"/>
  <c r="E281" i="8"/>
  <c r="E280" i="8"/>
  <c r="E279" i="8"/>
  <c r="E278" i="8"/>
  <c r="C278" i="8" s="1"/>
  <c r="E277" i="8"/>
  <c r="E276" i="8"/>
  <c r="G137" i="8"/>
  <c r="G138" i="8"/>
  <c r="F308" i="8"/>
  <c r="F306" i="8"/>
  <c r="F304" i="8"/>
  <c r="F302" i="8"/>
  <c r="F300" i="8"/>
  <c r="F309" i="8"/>
  <c r="F307" i="8"/>
  <c r="F305" i="8"/>
  <c r="F303" i="8"/>
  <c r="F301" i="8"/>
  <c r="B215" i="8"/>
  <c r="N214" i="8"/>
  <c r="L214" i="8"/>
  <c r="J214" i="8"/>
  <c r="H214" i="8"/>
  <c r="F214" i="8"/>
  <c r="D214" i="8"/>
  <c r="B214" i="8"/>
  <c r="N213" i="8"/>
  <c r="L213" i="8"/>
  <c r="J213" i="8"/>
  <c r="H213" i="8"/>
  <c r="F213" i="8"/>
  <c r="D213" i="8"/>
  <c r="B213" i="8"/>
  <c r="N212" i="8"/>
  <c r="L212" i="8"/>
  <c r="J212" i="8"/>
  <c r="H212" i="8"/>
  <c r="F212" i="8"/>
  <c r="D212" i="8"/>
  <c r="B212" i="8"/>
  <c r="O211" i="8"/>
  <c r="M211" i="8"/>
  <c r="K211" i="8"/>
  <c r="I211" i="8"/>
  <c r="G211" i="8"/>
  <c r="E211" i="8"/>
  <c r="C211" i="8"/>
  <c r="O210" i="8"/>
  <c r="M210" i="8"/>
  <c r="K210" i="8"/>
  <c r="I210" i="8"/>
  <c r="G210" i="8"/>
  <c r="E210" i="8"/>
  <c r="C210" i="8"/>
  <c r="C215" i="8"/>
  <c r="O214" i="8"/>
  <c r="M214" i="8"/>
  <c r="K214" i="8"/>
  <c r="I214" i="8"/>
  <c r="G214" i="8"/>
  <c r="E214" i="8"/>
  <c r="C214" i="8"/>
  <c r="O213" i="8"/>
  <c r="M213" i="8"/>
  <c r="K213" i="8"/>
  <c r="I213" i="8"/>
  <c r="G213" i="8"/>
  <c r="E213" i="8"/>
  <c r="C213" i="8"/>
  <c r="O212" i="8"/>
  <c r="M212" i="8"/>
  <c r="K212" i="8"/>
  <c r="I212" i="8"/>
  <c r="G212" i="8"/>
  <c r="E212" i="8"/>
  <c r="C212" i="8"/>
  <c r="A212" i="8"/>
  <c r="N211" i="8"/>
  <c r="L211" i="8"/>
  <c r="J211" i="8"/>
  <c r="H211" i="8"/>
  <c r="F211" i="8"/>
  <c r="D211" i="8"/>
  <c r="B211" i="8"/>
  <c r="N210" i="8"/>
  <c r="L210" i="8"/>
  <c r="J210" i="8"/>
  <c r="H210" i="8"/>
  <c r="F210" i="8"/>
  <c r="D210" i="8"/>
  <c r="B210" i="8"/>
  <c r="C281" i="8"/>
  <c r="C280" i="8"/>
  <c r="C279" i="8"/>
  <c r="B278" i="8"/>
  <c r="C277" i="8"/>
  <c r="B276" i="8"/>
  <c r="B281" i="8"/>
  <c r="B280" i="8"/>
  <c r="B279" i="8"/>
  <c r="B286" i="8" s="1"/>
  <c r="B277" i="8"/>
  <c r="I276" i="8" s="1"/>
  <c r="I281" i="8"/>
  <c r="I280" i="8"/>
  <c r="I279" i="8"/>
  <c r="I278" i="8"/>
  <c r="H277" i="8"/>
  <c r="F277" i="8" s="1"/>
  <c r="H276" i="8"/>
  <c r="H281" i="8"/>
  <c r="H280" i="8"/>
  <c r="H279" i="8"/>
  <c r="H286" i="8" s="1"/>
  <c r="H278" i="8"/>
  <c r="I277" i="8"/>
  <c r="H274" i="3"/>
  <c r="G274" i="3" s="1"/>
  <c r="E274" i="3"/>
  <c r="C274" i="3"/>
  <c r="G273" i="3"/>
  <c r="E273" i="3"/>
  <c r="C273" i="3"/>
  <c r="H272" i="3"/>
  <c r="F272" i="3"/>
  <c r="D272" i="3"/>
  <c r="F274" i="3"/>
  <c r="D274" i="3"/>
  <c r="H273" i="3"/>
  <c r="F273" i="3"/>
  <c r="D273" i="3"/>
  <c r="B273" i="3"/>
  <c r="G272" i="3"/>
  <c r="E272" i="3"/>
  <c r="C272" i="3"/>
  <c r="G136" i="8"/>
  <c r="F152" i="7"/>
  <c r="E286" i="8" l="1"/>
  <c r="E154" i="8" s="1"/>
  <c r="A286" i="8"/>
  <c r="E146" i="8"/>
  <c r="E144" i="8"/>
  <c r="E143" i="8"/>
  <c r="G286" i="8"/>
  <c r="F286" i="8" s="1"/>
  <c r="E162" i="8"/>
  <c r="E160" i="8"/>
  <c r="E161" i="8"/>
  <c r="E159" i="8"/>
  <c r="H152" i="8"/>
  <c r="H153" i="8"/>
  <c r="I155" i="8"/>
  <c r="I154" i="8"/>
  <c r="G153" i="8"/>
  <c r="F153" i="8" s="1"/>
  <c r="G152" i="8"/>
  <c r="H155" i="8"/>
  <c r="H154" i="8"/>
  <c r="H163" i="8"/>
  <c r="H162" i="8"/>
  <c r="H161" i="8"/>
  <c r="H160" i="8"/>
  <c r="G160" i="8" s="1"/>
  <c r="F160" i="8" s="1"/>
  <c r="I163" i="8"/>
  <c r="I162" i="8"/>
  <c r="I145" i="8"/>
  <c r="I144" i="8"/>
  <c r="G147" i="8"/>
  <c r="G146" i="8"/>
  <c r="I286" i="8"/>
  <c r="D286" i="8"/>
  <c r="C286" i="8" s="1"/>
  <c r="G155" i="8"/>
  <c r="G154" i="8"/>
  <c r="F154" i="8" s="1"/>
  <c r="I153" i="8"/>
  <c r="I152" i="8"/>
  <c r="I161" i="8"/>
  <c r="I160" i="8"/>
  <c r="G161" i="8"/>
  <c r="G163" i="8"/>
  <c r="G162" i="8"/>
  <c r="G145" i="8"/>
  <c r="F145" i="8" s="1"/>
  <c r="E145" i="8" s="1"/>
  <c r="G144" i="8"/>
  <c r="H147" i="8"/>
  <c r="H146" i="8"/>
  <c r="H145" i="8"/>
  <c r="H144" i="8"/>
  <c r="I147" i="8"/>
  <c r="I146" i="8"/>
  <c r="S294" i="2"/>
  <c r="E151" i="8" l="1"/>
  <c r="E152" i="8"/>
  <c r="E153" i="8"/>
  <c r="J153" i="8"/>
  <c r="J146" i="8"/>
  <c r="F146" i="8"/>
  <c r="F147" i="8" s="1"/>
  <c r="F155" i="8"/>
  <c r="E155" i="8" s="1"/>
  <c r="F161" i="8"/>
  <c r="F162" i="8" s="1"/>
  <c r="F163" i="8" s="1"/>
  <c r="J161" i="8"/>
  <c r="J147" i="8"/>
  <c r="E163" i="8"/>
  <c r="J152" i="8"/>
  <c r="J162" i="8"/>
  <c r="J144" i="8"/>
  <c r="J154" i="8"/>
  <c r="J163" i="8"/>
  <c r="E147" i="8"/>
  <c r="J145" i="8"/>
  <c r="J155" i="8"/>
  <c r="S259" i="2" l="1"/>
  <c r="A238" i="2"/>
  <c r="D185" i="2"/>
  <c r="D184" i="2"/>
  <c r="D183" i="2"/>
  <c r="O221" i="2" s="1"/>
  <c r="D182" i="2"/>
  <c r="O198" i="2" s="1"/>
  <c r="J152" i="2"/>
  <c r="J162" i="2" s="1"/>
  <c r="I152" i="2"/>
  <c r="J149" i="2"/>
  <c r="I149" i="2"/>
  <c r="H149" i="2"/>
  <c r="H142" i="2"/>
  <c r="H139" i="2"/>
  <c r="H138" i="2"/>
  <c r="C127" i="2" s="1"/>
  <c r="B127" i="2" s="1"/>
  <c r="H137" i="2"/>
  <c r="H132" i="2"/>
  <c r="H129" i="2"/>
  <c r="H128" i="2"/>
  <c r="E126" i="2" s="1"/>
  <c r="H127" i="2"/>
  <c r="H122" i="2"/>
  <c r="H119" i="2"/>
  <c r="H118" i="2"/>
  <c r="D125" i="2" s="1"/>
  <c r="H117" i="2"/>
  <c r="I78" i="2"/>
  <c r="H78" i="2"/>
  <c r="G78" i="2"/>
  <c r="F78" i="2"/>
  <c r="E78" i="2"/>
  <c r="D78" i="2"/>
  <c r="C78" i="2"/>
  <c r="G76" i="2"/>
  <c r="G38" i="2"/>
  <c r="I36" i="2"/>
  <c r="H36" i="2"/>
  <c r="H111" i="2" s="1"/>
  <c r="G36" i="2"/>
  <c r="F36" i="2"/>
  <c r="F111" i="2" s="1"/>
  <c r="E36" i="2"/>
  <c r="D36" i="2"/>
  <c r="D111" i="2" s="1"/>
  <c r="C36" i="2"/>
  <c r="C149" i="6"/>
  <c r="C153" i="6" s="1"/>
  <c r="F153" i="6" s="1"/>
  <c r="E139" i="6"/>
  <c r="C126" i="2" l="1"/>
  <c r="D126" i="2"/>
  <c r="H167" i="2"/>
  <c r="H170" i="2" s="1"/>
  <c r="I162" i="2"/>
  <c r="I153" i="2"/>
  <c r="B126" i="2"/>
  <c r="E127" i="2"/>
  <c r="D127" i="2" s="1"/>
  <c r="H133" i="2"/>
  <c r="C139" i="6"/>
  <c r="F139" i="6" s="1"/>
  <c r="F140" i="6" s="1"/>
  <c r="C144" i="6"/>
  <c r="H140" i="2"/>
  <c r="D110" i="3"/>
  <c r="D110" i="7"/>
  <c r="D110" i="8"/>
  <c r="F110" i="3"/>
  <c r="F110" i="7"/>
  <c r="F110" i="8"/>
  <c r="H110" i="3"/>
  <c r="H110" i="7"/>
  <c r="H110" i="8"/>
  <c r="D108" i="2"/>
  <c r="F110" i="2"/>
  <c r="H108" i="2"/>
  <c r="D325" i="2"/>
  <c r="D324" i="2"/>
  <c r="D321" i="2"/>
  <c r="D320" i="2"/>
  <c r="D326" i="2"/>
  <c r="D323" i="2"/>
  <c r="D319" i="2"/>
  <c r="D316" i="2"/>
  <c r="D315" i="2"/>
  <c r="D314" i="2"/>
  <c r="D313" i="2"/>
  <c r="D312" i="2"/>
  <c r="D310" i="2"/>
  <c r="D309" i="2"/>
  <c r="D307" i="2"/>
  <c r="D304" i="2"/>
  <c r="D303" i="2"/>
  <c r="D301" i="2"/>
  <c r="D299" i="2"/>
  <c r="D298" i="2"/>
  <c r="D318" i="2"/>
  <c r="D317" i="2"/>
  <c r="D311" i="2"/>
  <c r="D308" i="2"/>
  <c r="D306" i="2"/>
  <c r="D305" i="2"/>
  <c r="D302" i="2"/>
  <c r="D300" i="2"/>
  <c r="D297" i="2"/>
  <c r="D296" i="2"/>
  <c r="D295" i="2"/>
  <c r="D294" i="2"/>
  <c r="C36" i="3"/>
  <c r="C36" i="7"/>
  <c r="C36" i="8"/>
  <c r="E36" i="3"/>
  <c r="E36" i="7"/>
  <c r="E36" i="8"/>
  <c r="G36" i="3"/>
  <c r="G36" i="7"/>
  <c r="G36" i="8"/>
  <c r="I36" i="3"/>
  <c r="I36" i="7"/>
  <c r="I36" i="8"/>
  <c r="C77" i="3"/>
  <c r="C77" i="7"/>
  <c r="C77" i="8"/>
  <c r="E77" i="3"/>
  <c r="E77" i="7"/>
  <c r="E77" i="8"/>
  <c r="G77" i="3"/>
  <c r="G77" i="7"/>
  <c r="G77" i="8"/>
  <c r="I77" i="3"/>
  <c r="I77" i="7"/>
  <c r="I77" i="8"/>
  <c r="F154" i="6"/>
  <c r="C73" i="2"/>
  <c r="E73" i="2"/>
  <c r="G73" i="2"/>
  <c r="I73" i="2"/>
  <c r="D79" i="2"/>
  <c r="F79" i="2"/>
  <c r="H79" i="2"/>
  <c r="D80" i="2"/>
  <c r="F80" i="2"/>
  <c r="H80" i="2"/>
  <c r="D81" i="2"/>
  <c r="F81" i="2"/>
  <c r="H81" i="2"/>
  <c r="D84" i="2"/>
  <c r="F84" i="2"/>
  <c r="H84" i="2"/>
  <c r="D86" i="2"/>
  <c r="F86" i="2"/>
  <c r="H86" i="2"/>
  <c r="D87" i="2"/>
  <c r="F87" i="2"/>
  <c r="H87" i="2"/>
  <c r="D88" i="2"/>
  <c r="F88" i="2"/>
  <c r="H88" i="2"/>
  <c r="D89" i="2"/>
  <c r="F89" i="2"/>
  <c r="H89" i="2"/>
  <c r="D90" i="2"/>
  <c r="F90" i="2"/>
  <c r="H90" i="2"/>
  <c r="D91" i="2"/>
  <c r="F91" i="2"/>
  <c r="H91" i="2"/>
  <c r="D93" i="2"/>
  <c r="F93" i="2"/>
  <c r="H93" i="2"/>
  <c r="D95" i="2"/>
  <c r="F95" i="2"/>
  <c r="H95" i="2"/>
  <c r="D97" i="2"/>
  <c r="F97" i="2"/>
  <c r="H97" i="2"/>
  <c r="D98" i="2"/>
  <c r="F98" i="2"/>
  <c r="H98" i="2"/>
  <c r="D105" i="2"/>
  <c r="F105" i="2"/>
  <c r="H105" i="2"/>
  <c r="D106" i="2"/>
  <c r="F106" i="2"/>
  <c r="H106" i="2"/>
  <c r="D107" i="2"/>
  <c r="F107" i="2"/>
  <c r="H107" i="2"/>
  <c r="F108" i="2"/>
  <c r="C125" i="2"/>
  <c r="H120" i="2" s="1"/>
  <c r="E125" i="2"/>
  <c r="J154" i="2"/>
  <c r="I155" i="2"/>
  <c r="I156" i="2"/>
  <c r="J157" i="2"/>
  <c r="I158" i="2"/>
  <c r="J159" i="2"/>
  <c r="I160" i="2"/>
  <c r="I161" i="2"/>
  <c r="I167" i="2"/>
  <c r="J191" i="2"/>
  <c r="L191" i="2"/>
  <c r="N191" i="2"/>
  <c r="J192" i="2"/>
  <c r="L192" i="2"/>
  <c r="N192" i="2"/>
  <c r="J193" i="2"/>
  <c r="L193" i="2"/>
  <c r="N193" i="2"/>
  <c r="J194" i="2"/>
  <c r="L194" i="2"/>
  <c r="N194" i="2"/>
  <c r="J195" i="2"/>
  <c r="L195" i="2"/>
  <c r="N195" i="2"/>
  <c r="J196" i="2"/>
  <c r="L196" i="2"/>
  <c r="N196" i="2"/>
  <c r="J197" i="2"/>
  <c r="L197" i="2"/>
  <c r="N197" i="2"/>
  <c r="J198" i="2"/>
  <c r="L198" i="2"/>
  <c r="N198" i="2"/>
  <c r="J214" i="2"/>
  <c r="L214" i="2"/>
  <c r="N214" i="2"/>
  <c r="J215" i="2"/>
  <c r="L215" i="2"/>
  <c r="N215" i="2"/>
  <c r="J216" i="2"/>
  <c r="L216" i="2"/>
  <c r="N216" i="2"/>
  <c r="J217" i="2"/>
  <c r="L217" i="2"/>
  <c r="N217" i="2"/>
  <c r="J218" i="2"/>
  <c r="L218" i="2"/>
  <c r="N218" i="2"/>
  <c r="J219" i="2"/>
  <c r="L219" i="2"/>
  <c r="N219" i="2"/>
  <c r="J220" i="2"/>
  <c r="L220" i="2"/>
  <c r="N220" i="2"/>
  <c r="J221" i="2"/>
  <c r="L221" i="2"/>
  <c r="N221" i="2"/>
  <c r="D36" i="3"/>
  <c r="D36" i="7"/>
  <c r="D36" i="8"/>
  <c r="F36" i="3"/>
  <c r="F36" i="7"/>
  <c r="F36" i="8"/>
  <c r="H36" i="3"/>
  <c r="H36" i="7"/>
  <c r="H36" i="8"/>
  <c r="D77" i="3"/>
  <c r="D77" i="7"/>
  <c r="D77" i="8"/>
  <c r="F77" i="3"/>
  <c r="F77" i="7"/>
  <c r="F77" i="8"/>
  <c r="H77" i="3"/>
  <c r="H77" i="7"/>
  <c r="H77" i="8"/>
  <c r="D73" i="2"/>
  <c r="F73" i="2"/>
  <c r="H73" i="2"/>
  <c r="J78" i="2"/>
  <c r="A330" i="2" s="1"/>
  <c r="D82" i="2"/>
  <c r="F82" i="2"/>
  <c r="H82" i="2"/>
  <c r="D83" i="2"/>
  <c r="F83" i="2"/>
  <c r="H83" i="2"/>
  <c r="D85" i="2"/>
  <c r="F85" i="2"/>
  <c r="H85" i="2"/>
  <c r="D92" i="2"/>
  <c r="F92" i="2"/>
  <c r="H92" i="2"/>
  <c r="D94" i="2"/>
  <c r="F94" i="2"/>
  <c r="H94" i="2"/>
  <c r="D96" i="2"/>
  <c r="F96" i="2"/>
  <c r="H96" i="2"/>
  <c r="D99" i="2"/>
  <c r="F99" i="2"/>
  <c r="H99" i="2"/>
  <c r="D100" i="2"/>
  <c r="F100" i="2"/>
  <c r="H100" i="2"/>
  <c r="D101" i="2"/>
  <c r="F101" i="2"/>
  <c r="H101" i="2"/>
  <c r="D102" i="2"/>
  <c r="F102" i="2"/>
  <c r="H102" i="2"/>
  <c r="D103" i="2"/>
  <c r="F103" i="2"/>
  <c r="H103" i="2"/>
  <c r="D104" i="2"/>
  <c r="F104" i="2"/>
  <c r="H104" i="2"/>
  <c r="D110" i="2"/>
  <c r="H110" i="2"/>
  <c r="C111" i="2"/>
  <c r="C82" i="2" s="1"/>
  <c r="E111" i="2"/>
  <c r="E98" i="2" s="1"/>
  <c r="G111" i="2"/>
  <c r="G82" i="2" s="1"/>
  <c r="I111" i="2"/>
  <c r="I98" i="2" s="1"/>
  <c r="B125" i="2"/>
  <c r="H123" i="2" s="1"/>
  <c r="K152" i="2"/>
  <c r="J153" i="2"/>
  <c r="I154" i="2"/>
  <c r="J156" i="2"/>
  <c r="I157" i="2"/>
  <c r="J158" i="2"/>
  <c r="I159" i="2"/>
  <c r="J160" i="2"/>
  <c r="J161" i="2"/>
  <c r="E182" i="2"/>
  <c r="E183" i="2"/>
  <c r="K191" i="2"/>
  <c r="M191" i="2"/>
  <c r="I246" i="2" s="1"/>
  <c r="O191" i="2"/>
  <c r="K192" i="2"/>
  <c r="M192" i="2"/>
  <c r="I247" i="2" s="1"/>
  <c r="O192" i="2"/>
  <c r="K193" i="2"/>
  <c r="M193" i="2"/>
  <c r="I248" i="2" s="1"/>
  <c r="O193" i="2"/>
  <c r="K194" i="2"/>
  <c r="M194" i="2"/>
  <c r="O194" i="2"/>
  <c r="K195" i="2"/>
  <c r="M195" i="2"/>
  <c r="I250" i="2" s="1"/>
  <c r="O195" i="2"/>
  <c r="K196" i="2"/>
  <c r="M196" i="2"/>
  <c r="I251" i="2" s="1"/>
  <c r="O196" i="2"/>
  <c r="K197" i="2"/>
  <c r="M197" i="2"/>
  <c r="I252" i="2" s="1"/>
  <c r="O197" i="2"/>
  <c r="K198" i="2"/>
  <c r="M198" i="2"/>
  <c r="K214" i="2"/>
  <c r="M214" i="2"/>
  <c r="O214" i="2"/>
  <c r="K215" i="2"/>
  <c r="M215" i="2"/>
  <c r="O215" i="2"/>
  <c r="K216" i="2"/>
  <c r="M216" i="2"/>
  <c r="O216" i="2"/>
  <c r="K217" i="2"/>
  <c r="M217" i="2"/>
  <c r="O217" i="2"/>
  <c r="K218" i="2"/>
  <c r="M218" i="2"/>
  <c r="O218" i="2"/>
  <c r="K219" i="2"/>
  <c r="M219" i="2"/>
  <c r="O219" i="2"/>
  <c r="K220" i="2"/>
  <c r="M220" i="2"/>
  <c r="O220" i="2"/>
  <c r="K221" i="2"/>
  <c r="M221" i="2"/>
  <c r="S260" i="2"/>
  <c r="H175" i="2" l="1"/>
  <c r="H169" i="2"/>
  <c r="H171" i="2"/>
  <c r="H173" i="2"/>
  <c r="H172" i="2"/>
  <c r="H174" i="2"/>
  <c r="H168" i="2"/>
  <c r="H176" i="2"/>
  <c r="L250" i="2"/>
  <c r="L246" i="2"/>
  <c r="L245" i="2" s="1"/>
  <c r="L251" i="2"/>
  <c r="L249" i="2"/>
  <c r="I249" i="2" s="1"/>
  <c r="G330" i="2" s="1"/>
  <c r="H121" i="2"/>
  <c r="G81" i="3"/>
  <c r="G81" i="7"/>
  <c r="G81" i="8"/>
  <c r="C81" i="3"/>
  <c r="C81" i="7"/>
  <c r="C81" i="8"/>
  <c r="J167" i="2"/>
  <c r="K159" i="2"/>
  <c r="K157" i="2"/>
  <c r="K155" i="2"/>
  <c r="J155" i="2" s="1"/>
  <c r="K154" i="2"/>
  <c r="K162" i="2"/>
  <c r="K161" i="2"/>
  <c r="K158" i="2"/>
  <c r="K156" i="2"/>
  <c r="K153" i="2"/>
  <c r="I110" i="3"/>
  <c r="I110" i="7"/>
  <c r="I110" i="8"/>
  <c r="E110" i="3"/>
  <c r="E110" i="7"/>
  <c r="E110" i="8"/>
  <c r="G110" i="2"/>
  <c r="H109" i="3"/>
  <c r="H109" i="7"/>
  <c r="H109" i="8"/>
  <c r="F103" i="3"/>
  <c r="F103" i="8"/>
  <c r="H102" i="3"/>
  <c r="H102" i="7"/>
  <c r="H102" i="8"/>
  <c r="D102" i="3"/>
  <c r="D102" i="8"/>
  <c r="F101" i="3"/>
  <c r="F101" i="7"/>
  <c r="F101" i="8"/>
  <c r="H100" i="3"/>
  <c r="H100" i="8"/>
  <c r="D100" i="3"/>
  <c r="D100" i="7"/>
  <c r="D100" i="8"/>
  <c r="F99" i="3"/>
  <c r="F99" i="8"/>
  <c r="H98" i="3"/>
  <c r="H98" i="7"/>
  <c r="H98" i="8"/>
  <c r="D98" i="3"/>
  <c r="D98" i="8"/>
  <c r="H95" i="3"/>
  <c r="H95" i="7"/>
  <c r="H95" i="8"/>
  <c r="D95" i="3"/>
  <c r="D95" i="7"/>
  <c r="D95" i="8"/>
  <c r="H93" i="3"/>
  <c r="H93" i="7"/>
  <c r="H93" i="8"/>
  <c r="D93" i="3"/>
  <c r="D93" i="7"/>
  <c r="D93" i="8"/>
  <c r="H91" i="3"/>
  <c r="H91" i="7"/>
  <c r="H91" i="8"/>
  <c r="D91" i="3"/>
  <c r="D91" i="7"/>
  <c r="D91" i="8"/>
  <c r="F84" i="3"/>
  <c r="F84" i="7"/>
  <c r="F84" i="8"/>
  <c r="F82" i="3"/>
  <c r="F82" i="7"/>
  <c r="F82" i="8"/>
  <c r="H81" i="3"/>
  <c r="H81" i="7"/>
  <c r="H81" i="8"/>
  <c r="D81" i="3"/>
  <c r="D81" i="7"/>
  <c r="D81" i="8"/>
  <c r="J330" i="2"/>
  <c r="I330" i="2"/>
  <c r="F73" i="3"/>
  <c r="F73" i="7"/>
  <c r="F73" i="8"/>
  <c r="F107" i="3"/>
  <c r="F107" i="8"/>
  <c r="F106" i="3"/>
  <c r="F106" i="7"/>
  <c r="F106" i="8"/>
  <c r="H105" i="3"/>
  <c r="H105" i="7"/>
  <c r="H105" i="8"/>
  <c r="D105" i="3"/>
  <c r="D105" i="7"/>
  <c r="D105" i="8"/>
  <c r="F104" i="3"/>
  <c r="F104" i="7"/>
  <c r="F104" i="8"/>
  <c r="H97" i="3"/>
  <c r="H97" i="7"/>
  <c r="H97" i="8"/>
  <c r="D97" i="3"/>
  <c r="D97" i="7"/>
  <c r="D97" i="8"/>
  <c r="F96" i="3"/>
  <c r="F96" i="7"/>
  <c r="F96" i="8"/>
  <c r="F94" i="3"/>
  <c r="F94" i="7"/>
  <c r="F94" i="8"/>
  <c r="F92" i="3"/>
  <c r="F92" i="7"/>
  <c r="F92" i="8"/>
  <c r="F90" i="3"/>
  <c r="F90" i="7"/>
  <c r="F90" i="8"/>
  <c r="H89" i="3"/>
  <c r="H89" i="7"/>
  <c r="H89" i="8"/>
  <c r="D89" i="3"/>
  <c r="D89" i="7"/>
  <c r="D89" i="8"/>
  <c r="F88" i="3"/>
  <c r="F88" i="7"/>
  <c r="F88" i="8"/>
  <c r="H87" i="3"/>
  <c r="H87" i="7"/>
  <c r="H87" i="8"/>
  <c r="D87" i="3"/>
  <c r="D87" i="7"/>
  <c r="D87" i="8"/>
  <c r="F86" i="3"/>
  <c r="F86" i="7"/>
  <c r="F86" i="8"/>
  <c r="H85" i="3"/>
  <c r="H85" i="7"/>
  <c r="H85" i="8"/>
  <c r="D85" i="3"/>
  <c r="D85" i="7"/>
  <c r="D85" i="8"/>
  <c r="H83" i="3"/>
  <c r="H83" i="7"/>
  <c r="H83" i="8"/>
  <c r="D83" i="3"/>
  <c r="D83" i="7"/>
  <c r="D83" i="8"/>
  <c r="F80" i="3"/>
  <c r="F80" i="7"/>
  <c r="F80" i="8"/>
  <c r="H79" i="3"/>
  <c r="H79" i="7"/>
  <c r="H79" i="8"/>
  <c r="D79" i="3"/>
  <c r="D79" i="7"/>
  <c r="D79" i="8"/>
  <c r="F78" i="3"/>
  <c r="F78" i="7"/>
  <c r="F78" i="8"/>
  <c r="G73" i="3"/>
  <c r="G73" i="7"/>
  <c r="G73" i="8"/>
  <c r="C73" i="3"/>
  <c r="C73" i="7"/>
  <c r="C73" i="8"/>
  <c r="J36" i="3"/>
  <c r="D291" i="2"/>
  <c r="D290" i="2"/>
  <c r="D285" i="2"/>
  <c r="D282" i="2"/>
  <c r="D279" i="2"/>
  <c r="D277" i="2"/>
  <c r="D276" i="2"/>
  <c r="D274" i="2"/>
  <c r="D272" i="2"/>
  <c r="D271" i="2"/>
  <c r="D270" i="2"/>
  <c r="D289" i="2"/>
  <c r="D288" i="2"/>
  <c r="D287" i="2"/>
  <c r="D286" i="2"/>
  <c r="D284" i="2"/>
  <c r="D283" i="2"/>
  <c r="D281" i="2"/>
  <c r="D280" i="2"/>
  <c r="D278" i="2"/>
  <c r="D275" i="2"/>
  <c r="D273" i="2"/>
  <c r="D269" i="2"/>
  <c r="D268" i="2"/>
  <c r="D266" i="2"/>
  <c r="D265" i="2"/>
  <c r="D263" i="2"/>
  <c r="D267" i="2"/>
  <c r="D264" i="2"/>
  <c r="D262" i="2"/>
  <c r="D261" i="2"/>
  <c r="D260" i="2"/>
  <c r="D259" i="2"/>
  <c r="E110" i="2"/>
  <c r="F109" i="3"/>
  <c r="F109" i="7"/>
  <c r="F109" i="8"/>
  <c r="G109" i="2"/>
  <c r="I108" i="2"/>
  <c r="E108" i="2"/>
  <c r="I107" i="2"/>
  <c r="E107" i="2"/>
  <c r="I106" i="2"/>
  <c r="E106" i="2"/>
  <c r="I105" i="2"/>
  <c r="E105" i="2"/>
  <c r="G98" i="2"/>
  <c r="C98" i="2"/>
  <c r="I97" i="2"/>
  <c r="E97" i="2"/>
  <c r="I95" i="2"/>
  <c r="E95" i="2"/>
  <c r="I93" i="2"/>
  <c r="E93" i="2"/>
  <c r="G91" i="2"/>
  <c r="C91" i="2"/>
  <c r="I90" i="2"/>
  <c r="E90" i="2"/>
  <c r="G89" i="2"/>
  <c r="C89" i="2"/>
  <c r="G88" i="2"/>
  <c r="C88" i="2"/>
  <c r="I87" i="2"/>
  <c r="E87" i="2"/>
  <c r="G86" i="2"/>
  <c r="C86" i="2"/>
  <c r="G84" i="2"/>
  <c r="C84" i="2"/>
  <c r="I81" i="2"/>
  <c r="E81" i="2"/>
  <c r="G80" i="2"/>
  <c r="C80" i="2"/>
  <c r="I79" i="2"/>
  <c r="E79" i="2"/>
  <c r="K160" i="2"/>
  <c r="C330" i="2" s="1"/>
  <c r="I109" i="2"/>
  <c r="I104" i="2"/>
  <c r="E104" i="2"/>
  <c r="I103" i="2"/>
  <c r="E103" i="2"/>
  <c r="I102" i="2"/>
  <c r="E102" i="2"/>
  <c r="I101" i="2"/>
  <c r="E101" i="2"/>
  <c r="I100" i="2"/>
  <c r="E100" i="2"/>
  <c r="I99" i="2"/>
  <c r="E99" i="2"/>
  <c r="G96" i="2"/>
  <c r="C96" i="2"/>
  <c r="G94" i="2"/>
  <c r="C94" i="2"/>
  <c r="G92" i="2"/>
  <c r="C92" i="2"/>
  <c r="I85" i="2"/>
  <c r="E85" i="2"/>
  <c r="I83" i="2"/>
  <c r="E83" i="2"/>
  <c r="J77" i="8"/>
  <c r="J77" i="3"/>
  <c r="J36" i="8"/>
  <c r="S331" i="2"/>
  <c r="G110" i="3"/>
  <c r="G110" i="7"/>
  <c r="G110" i="8"/>
  <c r="C110" i="3"/>
  <c r="C110" i="7"/>
  <c r="C110" i="8"/>
  <c r="D109" i="3"/>
  <c r="D109" i="7"/>
  <c r="D109" i="8"/>
  <c r="H103" i="3"/>
  <c r="H103" i="7"/>
  <c r="H103" i="8"/>
  <c r="D103" i="3"/>
  <c r="D103" i="7"/>
  <c r="D103" i="8"/>
  <c r="F102" i="3"/>
  <c r="F102" i="7"/>
  <c r="F102" i="8"/>
  <c r="H101" i="3"/>
  <c r="H101" i="7"/>
  <c r="H101" i="8"/>
  <c r="D101" i="3"/>
  <c r="D101" i="7"/>
  <c r="D101" i="8"/>
  <c r="F100" i="3"/>
  <c r="F100" i="7"/>
  <c r="F100" i="8"/>
  <c r="H99" i="3"/>
  <c r="H99" i="7"/>
  <c r="H99" i="8"/>
  <c r="D99" i="3"/>
  <c r="D99" i="7"/>
  <c r="D99" i="8"/>
  <c r="F98" i="3"/>
  <c r="F98" i="7"/>
  <c r="F98" i="8"/>
  <c r="I97" i="3"/>
  <c r="I97" i="7"/>
  <c r="I97" i="8"/>
  <c r="E97" i="3"/>
  <c r="E97" i="7"/>
  <c r="E97" i="8"/>
  <c r="F95" i="3"/>
  <c r="F95" i="8"/>
  <c r="F93" i="3"/>
  <c r="F93" i="7"/>
  <c r="F93" i="8"/>
  <c r="F91" i="3"/>
  <c r="F91" i="8"/>
  <c r="H84" i="3"/>
  <c r="H84" i="8"/>
  <c r="D84" i="3"/>
  <c r="D84" i="7"/>
  <c r="D84" i="8"/>
  <c r="H82" i="3"/>
  <c r="H82" i="7"/>
  <c r="H82" i="8"/>
  <c r="D82" i="3"/>
  <c r="D82" i="8"/>
  <c r="F81" i="3"/>
  <c r="F81" i="7"/>
  <c r="F81" i="8"/>
  <c r="H73" i="3"/>
  <c r="H73" i="7"/>
  <c r="H73" i="8"/>
  <c r="D73" i="3"/>
  <c r="D73" i="7"/>
  <c r="D73" i="8"/>
  <c r="I175" i="2"/>
  <c r="I173" i="2"/>
  <c r="I171" i="2"/>
  <c r="I168" i="2"/>
  <c r="I176" i="2"/>
  <c r="I174" i="2"/>
  <c r="I172" i="2"/>
  <c r="I169" i="2"/>
  <c r="H106" i="3"/>
  <c r="H106" i="7"/>
  <c r="H106" i="8"/>
  <c r="D106" i="3"/>
  <c r="D106" i="8"/>
  <c r="F105" i="3"/>
  <c r="F105" i="7"/>
  <c r="F105" i="8"/>
  <c r="H104" i="3"/>
  <c r="H104" i="8"/>
  <c r="C105" i="2"/>
  <c r="D104" i="3"/>
  <c r="D104" i="7"/>
  <c r="D104" i="8"/>
  <c r="F97" i="3"/>
  <c r="F97" i="7"/>
  <c r="F97" i="8"/>
  <c r="H96" i="3"/>
  <c r="H96" i="8"/>
  <c r="D96" i="3"/>
  <c r="D96" i="7"/>
  <c r="D96" i="8"/>
  <c r="H94" i="3"/>
  <c r="H94" i="7"/>
  <c r="H94" i="8"/>
  <c r="D94" i="3"/>
  <c r="D94" i="8"/>
  <c r="H92" i="3"/>
  <c r="H92" i="8"/>
  <c r="D92" i="3"/>
  <c r="D92" i="7"/>
  <c r="D92" i="8"/>
  <c r="H90" i="3"/>
  <c r="H90" i="7"/>
  <c r="H90" i="8"/>
  <c r="D90" i="3"/>
  <c r="D90" i="8"/>
  <c r="F89" i="3"/>
  <c r="F89" i="7"/>
  <c r="F89" i="8"/>
  <c r="H88" i="3"/>
  <c r="H88" i="8"/>
  <c r="D88" i="3"/>
  <c r="D88" i="7"/>
  <c r="D88" i="8"/>
  <c r="F87" i="3"/>
  <c r="F87" i="8"/>
  <c r="H86" i="3"/>
  <c r="H86" i="7"/>
  <c r="H86" i="8"/>
  <c r="D86" i="3"/>
  <c r="D86" i="8"/>
  <c r="F85" i="3"/>
  <c r="F85" i="7"/>
  <c r="F85" i="8"/>
  <c r="F83" i="3"/>
  <c r="F83" i="8"/>
  <c r="H80" i="3"/>
  <c r="H80" i="8"/>
  <c r="D80" i="3"/>
  <c r="D80" i="7"/>
  <c r="D80" i="8"/>
  <c r="F79" i="3"/>
  <c r="F79" i="7"/>
  <c r="H78" i="3"/>
  <c r="H78" i="7"/>
  <c r="H78" i="8"/>
  <c r="D78" i="3"/>
  <c r="D78" i="8"/>
  <c r="I73" i="3"/>
  <c r="I73" i="7"/>
  <c r="I73" i="8"/>
  <c r="E73" i="3"/>
  <c r="E73" i="7"/>
  <c r="E73" i="8"/>
  <c r="J36" i="7"/>
  <c r="H107" i="3"/>
  <c r="H107" i="7"/>
  <c r="H107" i="8"/>
  <c r="D107" i="3"/>
  <c r="D107" i="7"/>
  <c r="D107" i="8"/>
  <c r="C109" i="2"/>
  <c r="G108" i="2"/>
  <c r="C108" i="2"/>
  <c r="G107" i="2"/>
  <c r="C107" i="2"/>
  <c r="G106" i="2"/>
  <c r="C106" i="2"/>
  <c r="G105" i="2"/>
  <c r="G97" i="2"/>
  <c r="C97" i="2"/>
  <c r="G95" i="2"/>
  <c r="C95" i="2"/>
  <c r="G93" i="2"/>
  <c r="C93" i="2"/>
  <c r="I91" i="2"/>
  <c r="E91" i="2"/>
  <c r="G90" i="2"/>
  <c r="C90" i="2"/>
  <c r="I89" i="2"/>
  <c r="E89" i="2"/>
  <c r="I88" i="2"/>
  <c r="E88" i="2"/>
  <c r="G87" i="2"/>
  <c r="C87" i="2"/>
  <c r="I86" i="2"/>
  <c r="E86" i="2"/>
  <c r="I84" i="2"/>
  <c r="E84" i="2"/>
  <c r="G81" i="2"/>
  <c r="C81" i="2"/>
  <c r="I80" i="2"/>
  <c r="E80" i="2"/>
  <c r="G79" i="2"/>
  <c r="C79" i="2"/>
  <c r="C110" i="2"/>
  <c r="E109" i="2"/>
  <c r="G104" i="2"/>
  <c r="C104" i="2"/>
  <c r="G103" i="2"/>
  <c r="C103" i="2"/>
  <c r="G102" i="2"/>
  <c r="C102" i="2"/>
  <c r="G101" i="2"/>
  <c r="C101" i="2"/>
  <c r="G100" i="2"/>
  <c r="C100" i="2"/>
  <c r="G99" i="2"/>
  <c r="C99" i="2"/>
  <c r="I96" i="2"/>
  <c r="E96" i="2"/>
  <c r="I94" i="2"/>
  <c r="E94" i="2"/>
  <c r="I92" i="2"/>
  <c r="E92" i="2"/>
  <c r="G85" i="2"/>
  <c r="C85" i="2"/>
  <c r="G83" i="2"/>
  <c r="C83" i="2"/>
  <c r="I82" i="2"/>
  <c r="E82" i="2"/>
  <c r="J77" i="7"/>
  <c r="K125" i="6"/>
  <c r="L330" i="2" l="1"/>
  <c r="J82" i="2"/>
  <c r="A334" i="2" s="1"/>
  <c r="G334" i="2" s="1"/>
  <c r="C88" i="7"/>
  <c r="I334" i="2"/>
  <c r="C334" i="2"/>
  <c r="I81" i="3"/>
  <c r="I81" i="7"/>
  <c r="I81" i="8"/>
  <c r="G82" i="3"/>
  <c r="G82" i="7"/>
  <c r="G82" i="8"/>
  <c r="G84" i="3"/>
  <c r="G84" i="7"/>
  <c r="G84" i="8"/>
  <c r="I91" i="3"/>
  <c r="I91" i="7"/>
  <c r="I91" i="8"/>
  <c r="I93" i="3"/>
  <c r="I93" i="7"/>
  <c r="I93" i="8"/>
  <c r="I95" i="3"/>
  <c r="I95" i="7"/>
  <c r="I95" i="8"/>
  <c r="G98" i="3"/>
  <c r="G98" i="7"/>
  <c r="G98" i="8"/>
  <c r="G99" i="3"/>
  <c r="G99" i="7"/>
  <c r="F99" i="7" s="1"/>
  <c r="G99" i="8"/>
  <c r="G100" i="3"/>
  <c r="G100" i="7"/>
  <c r="G100" i="8"/>
  <c r="G101" i="3"/>
  <c r="G101" i="7"/>
  <c r="G101" i="8"/>
  <c r="G102" i="3"/>
  <c r="G102" i="7"/>
  <c r="G102" i="8"/>
  <c r="G103" i="3"/>
  <c r="G103" i="7"/>
  <c r="F103" i="7" s="1"/>
  <c r="G103" i="8"/>
  <c r="C109" i="3"/>
  <c r="C109" i="7"/>
  <c r="C109" i="8"/>
  <c r="G78" i="3"/>
  <c r="G78" i="7"/>
  <c r="G78" i="8"/>
  <c r="I79" i="3"/>
  <c r="I79" i="7"/>
  <c r="I79" i="8"/>
  <c r="G80" i="3"/>
  <c r="G80" i="7"/>
  <c r="G80" i="8"/>
  <c r="I83" i="3"/>
  <c r="I83" i="7"/>
  <c r="I83" i="8"/>
  <c r="I85" i="3"/>
  <c r="I85" i="7"/>
  <c r="I85" i="8"/>
  <c r="G86" i="3"/>
  <c r="G86" i="7"/>
  <c r="G86" i="8"/>
  <c r="I87" i="3"/>
  <c r="I87" i="7"/>
  <c r="I87" i="8"/>
  <c r="I88" i="3"/>
  <c r="I88" i="7"/>
  <c r="H88" i="7" s="1"/>
  <c r="I88" i="8"/>
  <c r="G89" i="3"/>
  <c r="G89" i="7"/>
  <c r="G89" i="8"/>
  <c r="I90" i="3"/>
  <c r="I90" i="7"/>
  <c r="I90" i="8"/>
  <c r="G92" i="3"/>
  <c r="G92" i="7"/>
  <c r="G92" i="8"/>
  <c r="G94" i="3"/>
  <c r="G94" i="7"/>
  <c r="G94" i="8"/>
  <c r="G96" i="3"/>
  <c r="G96" i="7"/>
  <c r="G96" i="8"/>
  <c r="C105" i="3"/>
  <c r="C105" i="7"/>
  <c r="C105" i="8"/>
  <c r="J106" i="2"/>
  <c r="C106" i="3"/>
  <c r="C106" i="7"/>
  <c r="C106" i="8"/>
  <c r="J107" i="2"/>
  <c r="C107" i="3"/>
  <c r="C107" i="7"/>
  <c r="C107" i="8"/>
  <c r="J108" i="2"/>
  <c r="C108" i="3"/>
  <c r="C108" i="7"/>
  <c r="C108" i="8"/>
  <c r="C104" i="3"/>
  <c r="C104" i="7"/>
  <c r="C104" i="8"/>
  <c r="J105" i="2"/>
  <c r="J110" i="7"/>
  <c r="I82" i="3"/>
  <c r="I82" i="7"/>
  <c r="I82" i="8"/>
  <c r="I84" i="3"/>
  <c r="I84" i="7"/>
  <c r="H84" i="7" s="1"/>
  <c r="I84" i="8"/>
  <c r="G91" i="3"/>
  <c r="G91" i="7"/>
  <c r="F91" i="7" s="1"/>
  <c r="G91" i="8"/>
  <c r="G93" i="3"/>
  <c r="G93" i="7"/>
  <c r="G93" i="8"/>
  <c r="G95" i="3"/>
  <c r="G95" i="7"/>
  <c r="F95" i="7" s="1"/>
  <c r="G95" i="8"/>
  <c r="I98" i="3"/>
  <c r="I98" i="7"/>
  <c r="I98" i="8"/>
  <c r="I99" i="3"/>
  <c r="I99" i="7"/>
  <c r="I99" i="8"/>
  <c r="I100" i="3"/>
  <c r="I100" i="7"/>
  <c r="H100" i="7" s="1"/>
  <c r="I100" i="8"/>
  <c r="I101" i="3"/>
  <c r="I101" i="7"/>
  <c r="I101" i="8"/>
  <c r="I102" i="3"/>
  <c r="I102" i="7"/>
  <c r="I102" i="8"/>
  <c r="I103" i="3"/>
  <c r="I103" i="7"/>
  <c r="I103" i="8"/>
  <c r="I78" i="3"/>
  <c r="I78" i="7"/>
  <c r="I78" i="8"/>
  <c r="G79" i="3"/>
  <c r="G79" i="7"/>
  <c r="G79" i="8"/>
  <c r="F79" i="8" s="1"/>
  <c r="I80" i="3"/>
  <c r="I80" i="7"/>
  <c r="H80" i="7" s="1"/>
  <c r="I80" i="8"/>
  <c r="G83" i="3"/>
  <c r="G83" i="7"/>
  <c r="F83" i="7" s="1"/>
  <c r="G83" i="8"/>
  <c r="G85" i="3"/>
  <c r="G85" i="7"/>
  <c r="G85" i="8"/>
  <c r="I86" i="3"/>
  <c r="I86" i="7"/>
  <c r="I86" i="8"/>
  <c r="G87" i="3"/>
  <c r="G87" i="7"/>
  <c r="F87" i="7" s="1"/>
  <c r="G87" i="8"/>
  <c r="G88" i="3"/>
  <c r="G88" i="7"/>
  <c r="G88" i="8"/>
  <c r="I89" i="3"/>
  <c r="I89" i="7"/>
  <c r="I89" i="8"/>
  <c r="G90" i="3"/>
  <c r="G90" i="7"/>
  <c r="G90" i="8"/>
  <c r="I92" i="3"/>
  <c r="I92" i="7"/>
  <c r="H92" i="7" s="1"/>
  <c r="I92" i="8"/>
  <c r="I94" i="3"/>
  <c r="I94" i="7"/>
  <c r="I94" i="8"/>
  <c r="I96" i="3"/>
  <c r="I96" i="7"/>
  <c r="H96" i="7" s="1"/>
  <c r="I96" i="8"/>
  <c r="G97" i="3"/>
  <c r="G97" i="7"/>
  <c r="G97" i="8"/>
  <c r="I104" i="3"/>
  <c r="I104" i="7"/>
  <c r="H104" i="7" s="1"/>
  <c r="I104" i="8"/>
  <c r="I105" i="3"/>
  <c r="I105" i="7"/>
  <c r="I105" i="8"/>
  <c r="I106" i="3"/>
  <c r="I106" i="7"/>
  <c r="I106" i="8"/>
  <c r="I107" i="3"/>
  <c r="I107" i="7"/>
  <c r="I107" i="8"/>
  <c r="J73" i="7"/>
  <c r="G109" i="3"/>
  <c r="G109" i="7"/>
  <c r="G109" i="8"/>
  <c r="J176" i="2"/>
  <c r="J174" i="2"/>
  <c r="J172" i="2"/>
  <c r="J170" i="2"/>
  <c r="I170" i="2" s="1"/>
  <c r="J169" i="2"/>
  <c r="J175" i="2"/>
  <c r="F330" i="2" s="1"/>
  <c r="J173" i="2"/>
  <c r="J171" i="2"/>
  <c r="J168" i="2"/>
  <c r="C80" i="7"/>
  <c r="C96" i="7"/>
  <c r="C101" i="7"/>
  <c r="C85" i="7"/>
  <c r="C93" i="7"/>
  <c r="E81" i="3"/>
  <c r="E81" i="7"/>
  <c r="E81" i="8"/>
  <c r="C82" i="3"/>
  <c r="C82" i="7"/>
  <c r="C82" i="8"/>
  <c r="J83" i="2"/>
  <c r="C84" i="3"/>
  <c r="C84" i="7"/>
  <c r="C84" i="8"/>
  <c r="J85" i="2"/>
  <c r="A337" i="2" s="1"/>
  <c r="E91" i="3"/>
  <c r="E91" i="7"/>
  <c r="E91" i="8"/>
  <c r="E93" i="3"/>
  <c r="E93" i="7"/>
  <c r="E93" i="8"/>
  <c r="E95" i="3"/>
  <c r="E95" i="7"/>
  <c r="E95" i="8"/>
  <c r="C98" i="3"/>
  <c r="C98" i="7"/>
  <c r="C98" i="8"/>
  <c r="J99" i="2"/>
  <c r="C99" i="3"/>
  <c r="C99" i="7"/>
  <c r="C99" i="8"/>
  <c r="J100" i="2"/>
  <c r="A352" i="2" s="1"/>
  <c r="C100" i="3"/>
  <c r="C100" i="7"/>
  <c r="C100" i="8"/>
  <c r="J101" i="2"/>
  <c r="C101" i="3"/>
  <c r="C101" i="8"/>
  <c r="J102" i="2"/>
  <c r="A354" i="2" s="1"/>
  <c r="C102" i="3"/>
  <c r="C102" i="7"/>
  <c r="C102" i="8"/>
  <c r="J103" i="2"/>
  <c r="A355" i="2" s="1"/>
  <c r="C103" i="3"/>
  <c r="C103" i="7"/>
  <c r="C103" i="8"/>
  <c r="J104" i="2"/>
  <c r="A356" i="2" s="1"/>
  <c r="D109" i="2"/>
  <c r="E108" i="3"/>
  <c r="E108" i="7"/>
  <c r="E108" i="8"/>
  <c r="C78" i="3"/>
  <c r="C78" i="7"/>
  <c r="C78" i="8"/>
  <c r="J79" i="2"/>
  <c r="A331" i="2" s="1"/>
  <c r="E79" i="3"/>
  <c r="E79" i="7"/>
  <c r="E79" i="8"/>
  <c r="C80" i="3"/>
  <c r="C80" i="8"/>
  <c r="J81" i="2"/>
  <c r="A333" i="2" s="1"/>
  <c r="E83" i="3"/>
  <c r="E83" i="7"/>
  <c r="E83" i="8"/>
  <c r="E85" i="3"/>
  <c r="E85" i="7"/>
  <c r="E85" i="8"/>
  <c r="C86" i="3"/>
  <c r="C86" i="7"/>
  <c r="C86" i="8"/>
  <c r="J87" i="2"/>
  <c r="A339" i="2" s="1"/>
  <c r="E87" i="3"/>
  <c r="E87" i="7"/>
  <c r="E87" i="8"/>
  <c r="E88" i="3"/>
  <c r="E88" i="7"/>
  <c r="E88" i="8"/>
  <c r="C89" i="3"/>
  <c r="C89" i="7"/>
  <c r="C89" i="8"/>
  <c r="J90" i="2"/>
  <c r="A342" i="2" s="1"/>
  <c r="E90" i="3"/>
  <c r="E90" i="7"/>
  <c r="D90" i="7" s="1"/>
  <c r="E90" i="8"/>
  <c r="C92" i="3"/>
  <c r="C92" i="7"/>
  <c r="C92" i="8"/>
  <c r="J93" i="2"/>
  <c r="A345" i="2" s="1"/>
  <c r="C94" i="3"/>
  <c r="C94" i="7"/>
  <c r="C94" i="8"/>
  <c r="J95" i="2"/>
  <c r="A347" i="2" s="1"/>
  <c r="C96" i="3"/>
  <c r="C96" i="8"/>
  <c r="J97" i="2"/>
  <c r="A349" i="2" s="1"/>
  <c r="G104" i="3"/>
  <c r="G104" i="7"/>
  <c r="G104" i="8"/>
  <c r="G105" i="3"/>
  <c r="G105" i="7"/>
  <c r="G105" i="8"/>
  <c r="G106" i="3"/>
  <c r="G106" i="7"/>
  <c r="G106" i="8"/>
  <c r="G107" i="3"/>
  <c r="G107" i="7"/>
  <c r="F107" i="7" s="1"/>
  <c r="G107" i="8"/>
  <c r="H294" i="2"/>
  <c r="J110" i="3"/>
  <c r="E82" i="3"/>
  <c r="E82" i="7"/>
  <c r="D82" i="7" s="1"/>
  <c r="E82" i="8"/>
  <c r="E84" i="3"/>
  <c r="E84" i="7"/>
  <c r="E84" i="8"/>
  <c r="C91" i="3"/>
  <c r="C91" i="7"/>
  <c r="C91" i="8"/>
  <c r="J92" i="2"/>
  <c r="A344" i="2" s="1"/>
  <c r="C93" i="3"/>
  <c r="C93" i="8"/>
  <c r="J94" i="2"/>
  <c r="C95" i="3"/>
  <c r="C95" i="7"/>
  <c r="C95" i="8"/>
  <c r="J96" i="2"/>
  <c r="A348" i="2" s="1"/>
  <c r="E98" i="3"/>
  <c r="E98" i="7"/>
  <c r="D98" i="7" s="1"/>
  <c r="E98" i="8"/>
  <c r="E99" i="3"/>
  <c r="E99" i="7"/>
  <c r="E99" i="8"/>
  <c r="E100" i="3"/>
  <c r="E100" i="7"/>
  <c r="E100" i="8"/>
  <c r="E101" i="3"/>
  <c r="E101" i="7"/>
  <c r="E101" i="8"/>
  <c r="E102" i="3"/>
  <c r="E102" i="7"/>
  <c r="D102" i="7" s="1"/>
  <c r="E102" i="8"/>
  <c r="E103" i="3"/>
  <c r="E103" i="7"/>
  <c r="E103" i="8"/>
  <c r="H109" i="2"/>
  <c r="I108" i="3"/>
  <c r="I108" i="7"/>
  <c r="I108" i="8"/>
  <c r="E78" i="3"/>
  <c r="E78" i="7"/>
  <c r="D78" i="7" s="1"/>
  <c r="E78" i="8"/>
  <c r="C79" i="3"/>
  <c r="C79" i="7"/>
  <c r="C79" i="8"/>
  <c r="J79" i="8" s="1"/>
  <c r="J80" i="2"/>
  <c r="A332" i="2" s="1"/>
  <c r="E80" i="3"/>
  <c r="E80" i="7"/>
  <c r="E80" i="8"/>
  <c r="C83" i="3"/>
  <c r="C83" i="7"/>
  <c r="C83" i="8"/>
  <c r="J84" i="2"/>
  <c r="A336" i="2" s="1"/>
  <c r="C85" i="3"/>
  <c r="C85" i="8"/>
  <c r="J86" i="2"/>
  <c r="E86" i="3"/>
  <c r="E86" i="7"/>
  <c r="D86" i="7" s="1"/>
  <c r="E86" i="8"/>
  <c r="C87" i="3"/>
  <c r="C87" i="7"/>
  <c r="C87" i="8"/>
  <c r="J88" i="2"/>
  <c r="A340" i="2" s="1"/>
  <c r="C88" i="3"/>
  <c r="C88" i="8"/>
  <c r="J89" i="2"/>
  <c r="A341" i="2" s="1"/>
  <c r="E89" i="3"/>
  <c r="E89" i="7"/>
  <c r="E89" i="8"/>
  <c r="C90" i="3"/>
  <c r="C90" i="7"/>
  <c r="C90" i="8"/>
  <c r="J91" i="2"/>
  <c r="A343" i="2" s="1"/>
  <c r="E92" i="3"/>
  <c r="E92" i="7"/>
  <c r="E92" i="8"/>
  <c r="E94" i="3"/>
  <c r="E94" i="7"/>
  <c r="D94" i="7" s="1"/>
  <c r="E94" i="8"/>
  <c r="E96" i="3"/>
  <c r="E96" i="7"/>
  <c r="E96" i="8"/>
  <c r="C97" i="3"/>
  <c r="C97" i="7"/>
  <c r="C97" i="8"/>
  <c r="J98" i="2"/>
  <c r="A350" i="2" s="1"/>
  <c r="E104" i="3"/>
  <c r="E104" i="7"/>
  <c r="E104" i="8"/>
  <c r="E105" i="3"/>
  <c r="E105" i="7"/>
  <c r="E105" i="8"/>
  <c r="E106" i="3"/>
  <c r="E106" i="7"/>
  <c r="D106" i="7" s="1"/>
  <c r="E106" i="8"/>
  <c r="E107" i="3"/>
  <c r="E107" i="7"/>
  <c r="E107" i="8"/>
  <c r="F109" i="2"/>
  <c r="G108" i="3"/>
  <c r="G108" i="7"/>
  <c r="G108" i="8"/>
  <c r="E109" i="3"/>
  <c r="E109" i="7"/>
  <c r="E109" i="8"/>
  <c r="J73" i="3"/>
  <c r="D358" i="2"/>
  <c r="D357" i="2"/>
  <c r="D356" i="2"/>
  <c r="D353" i="2"/>
  <c r="D351" i="2"/>
  <c r="D350" i="2"/>
  <c r="D346" i="2"/>
  <c r="D345" i="2"/>
  <c r="D342" i="2"/>
  <c r="D341" i="2"/>
  <c r="D340" i="2"/>
  <c r="D334" i="2"/>
  <c r="D332" i="2"/>
  <c r="D330" i="2"/>
  <c r="D362" i="2"/>
  <c r="D361" i="2"/>
  <c r="D360" i="2"/>
  <c r="D359" i="2"/>
  <c r="D355" i="2"/>
  <c r="D354" i="2"/>
  <c r="D352" i="2"/>
  <c r="D349" i="2"/>
  <c r="D348" i="2"/>
  <c r="D347" i="2"/>
  <c r="D344" i="2"/>
  <c r="D343" i="2"/>
  <c r="D339" i="2"/>
  <c r="D338" i="2"/>
  <c r="D337" i="2"/>
  <c r="D336" i="2"/>
  <c r="D335" i="2"/>
  <c r="D333" i="2"/>
  <c r="D331" i="2"/>
  <c r="I245" i="2"/>
  <c r="H339" i="2" s="1"/>
  <c r="H326" i="2"/>
  <c r="H325" i="2"/>
  <c r="J110" i="8"/>
  <c r="J73" i="8"/>
  <c r="F334" i="2" l="1"/>
  <c r="J334" i="2"/>
  <c r="L334" i="2" s="1"/>
  <c r="J81" i="8"/>
  <c r="J81" i="3"/>
  <c r="J80" i="8"/>
  <c r="J87" i="8"/>
  <c r="J93" i="8"/>
  <c r="J81" i="7"/>
  <c r="J95" i="8"/>
  <c r="J85" i="8"/>
  <c r="J109" i="2"/>
  <c r="A361" i="2" s="1"/>
  <c r="J361" i="2" s="1"/>
  <c r="H362" i="2"/>
  <c r="H361" i="2"/>
  <c r="H360" i="2"/>
  <c r="H358" i="2"/>
  <c r="H349" i="2"/>
  <c r="H348" i="2"/>
  <c r="H344" i="2"/>
  <c r="H342" i="2"/>
  <c r="H341" i="2"/>
  <c r="H340" i="2"/>
  <c r="H335" i="2"/>
  <c r="H333" i="2"/>
  <c r="H330" i="2"/>
  <c r="K330" i="2" s="1"/>
  <c r="M330" i="2" s="1"/>
  <c r="H359" i="2"/>
  <c r="H357" i="2"/>
  <c r="H356" i="2"/>
  <c r="H355" i="2"/>
  <c r="H354" i="2"/>
  <c r="H353" i="2"/>
  <c r="H352" i="2"/>
  <c r="H351" i="2"/>
  <c r="H350" i="2"/>
  <c r="H347" i="2"/>
  <c r="H346" i="2"/>
  <c r="H345" i="2"/>
  <c r="H343" i="2"/>
  <c r="H338" i="2"/>
  <c r="H337" i="2"/>
  <c r="H336" i="2"/>
  <c r="H334" i="2"/>
  <c r="K334" i="2" s="1"/>
  <c r="H332" i="2"/>
  <c r="H331" i="2"/>
  <c r="H289" i="2"/>
  <c r="H291" i="2"/>
  <c r="H290" i="2"/>
  <c r="H271" i="2"/>
  <c r="H269" i="2"/>
  <c r="H267" i="2"/>
  <c r="H268" i="2"/>
  <c r="H266" i="2"/>
  <c r="H287" i="2"/>
  <c r="H279" i="2"/>
  <c r="H274" i="2"/>
  <c r="H273" i="2"/>
  <c r="F108" i="3"/>
  <c r="F108" i="7"/>
  <c r="F108" i="8"/>
  <c r="J96" i="8"/>
  <c r="J97" i="8"/>
  <c r="J97" i="3"/>
  <c r="I343" i="2"/>
  <c r="G343" i="2"/>
  <c r="C343" i="2"/>
  <c r="J343" i="2"/>
  <c r="F343" i="2"/>
  <c r="J340" i="2"/>
  <c r="I340" i="2"/>
  <c r="G340" i="2"/>
  <c r="F340" i="2" s="1"/>
  <c r="C340" i="2"/>
  <c r="I336" i="2"/>
  <c r="G336" i="2"/>
  <c r="F336" i="2" s="1"/>
  <c r="C336" i="2"/>
  <c r="J336" i="2"/>
  <c r="J79" i="3"/>
  <c r="H108" i="3"/>
  <c r="H108" i="7"/>
  <c r="H108" i="8"/>
  <c r="J95" i="3"/>
  <c r="J93" i="3"/>
  <c r="J91" i="3"/>
  <c r="H277" i="2"/>
  <c r="H261" i="2"/>
  <c r="H260" i="2"/>
  <c r="H323" i="2"/>
  <c r="I347" i="2"/>
  <c r="G347" i="2"/>
  <c r="C347" i="2"/>
  <c r="J347" i="2"/>
  <c r="F347" i="2"/>
  <c r="J94" i="7"/>
  <c r="I345" i="2"/>
  <c r="G345" i="2"/>
  <c r="J345" i="2"/>
  <c r="F345" i="2"/>
  <c r="C345" i="2"/>
  <c r="J92" i="7"/>
  <c r="J88" i="8"/>
  <c r="J89" i="8"/>
  <c r="J89" i="3"/>
  <c r="J86" i="3"/>
  <c r="J78" i="3"/>
  <c r="I356" i="2"/>
  <c r="G356" i="2"/>
  <c r="J356" i="2"/>
  <c r="F356" i="2"/>
  <c r="C356" i="2"/>
  <c r="I355" i="2"/>
  <c r="G355" i="2"/>
  <c r="C355" i="2"/>
  <c r="J355" i="2"/>
  <c r="F355" i="2"/>
  <c r="I354" i="2"/>
  <c r="G354" i="2"/>
  <c r="C354" i="2"/>
  <c r="J354" i="2"/>
  <c r="F354" i="2"/>
  <c r="J101" i="3"/>
  <c r="J99" i="8"/>
  <c r="J100" i="8"/>
  <c r="J100" i="3"/>
  <c r="J99" i="3"/>
  <c r="J98" i="3"/>
  <c r="I337" i="2"/>
  <c r="G337" i="2"/>
  <c r="F337" i="2" s="1"/>
  <c r="C337" i="2"/>
  <c r="J337" i="2"/>
  <c r="J84" i="7"/>
  <c r="J85" i="7"/>
  <c r="B404" i="7" s="1"/>
  <c r="J104" i="3"/>
  <c r="H288" i="2"/>
  <c r="H270" i="2"/>
  <c r="J106" i="7"/>
  <c r="B425" i="7" s="1"/>
  <c r="J105" i="7"/>
  <c r="J90" i="8"/>
  <c r="J86" i="8"/>
  <c r="J78" i="8"/>
  <c r="J98" i="8"/>
  <c r="H283" i="2"/>
  <c r="H275" i="2"/>
  <c r="H263" i="2"/>
  <c r="H286" i="2"/>
  <c r="H282" i="2"/>
  <c r="H278" i="2"/>
  <c r="H272" i="2"/>
  <c r="H262" i="2"/>
  <c r="I350" i="2"/>
  <c r="G350" i="2"/>
  <c r="J350" i="2"/>
  <c r="F350" i="2"/>
  <c r="C350" i="2"/>
  <c r="J97" i="7"/>
  <c r="J90" i="3"/>
  <c r="J341" i="2"/>
  <c r="I341" i="2"/>
  <c r="G341" i="2"/>
  <c r="F341" i="2" s="1"/>
  <c r="C341" i="2"/>
  <c r="J88" i="3"/>
  <c r="J87" i="3"/>
  <c r="J85" i="3"/>
  <c r="J83" i="3"/>
  <c r="I332" i="2"/>
  <c r="G332" i="2"/>
  <c r="J332" i="2"/>
  <c r="F332" i="2"/>
  <c r="C332" i="2"/>
  <c r="J79" i="7"/>
  <c r="B398" i="7" s="1"/>
  <c r="J348" i="2"/>
  <c r="F348" i="2"/>
  <c r="C348" i="2"/>
  <c r="I348" i="2"/>
  <c r="G348" i="2"/>
  <c r="J344" i="2"/>
  <c r="F344" i="2"/>
  <c r="C344" i="2"/>
  <c r="I344" i="2"/>
  <c r="G344" i="2"/>
  <c r="H265" i="2"/>
  <c r="H264" i="2"/>
  <c r="J349" i="2"/>
  <c r="F349" i="2"/>
  <c r="C349" i="2"/>
  <c r="I349" i="2"/>
  <c r="G349" i="2"/>
  <c r="J96" i="3"/>
  <c r="J94" i="3"/>
  <c r="J91" i="8"/>
  <c r="J92" i="8"/>
  <c r="J92" i="3"/>
  <c r="J342" i="2"/>
  <c r="F342" i="2"/>
  <c r="I342" i="2"/>
  <c r="G342" i="2"/>
  <c r="C342" i="2"/>
  <c r="J89" i="7"/>
  <c r="I339" i="2"/>
  <c r="G339" i="2"/>
  <c r="K339" i="2" s="1"/>
  <c r="C339" i="2"/>
  <c r="J339" i="2"/>
  <c r="F339" i="2"/>
  <c r="J86" i="7"/>
  <c r="J333" i="2"/>
  <c r="F333" i="2"/>
  <c r="C333" i="2"/>
  <c r="I333" i="2"/>
  <c r="G333" i="2"/>
  <c r="J80" i="3"/>
  <c r="I331" i="2"/>
  <c r="G331" i="2"/>
  <c r="C331" i="2"/>
  <c r="J331" i="2"/>
  <c r="F331" i="2"/>
  <c r="J78" i="7"/>
  <c r="D108" i="3"/>
  <c r="D108" i="7"/>
  <c r="D108" i="8"/>
  <c r="J102" i="8"/>
  <c r="J103" i="8"/>
  <c r="J103" i="3"/>
  <c r="J100" i="7"/>
  <c r="I352" i="2"/>
  <c r="G352" i="2"/>
  <c r="F352" i="2" s="1"/>
  <c r="C352" i="2"/>
  <c r="J352" i="2"/>
  <c r="J83" i="8"/>
  <c r="J84" i="8"/>
  <c r="J84" i="3"/>
  <c r="J82" i="3"/>
  <c r="J93" i="7"/>
  <c r="J101" i="7"/>
  <c r="B420" i="7" s="1"/>
  <c r="H285" i="2"/>
  <c r="H281" i="2"/>
  <c r="J104" i="7"/>
  <c r="B423" i="7" s="1"/>
  <c r="H284" i="2"/>
  <c r="H280" i="2"/>
  <c r="H276" i="2"/>
  <c r="J107" i="3"/>
  <c r="J106" i="3"/>
  <c r="J104" i="8"/>
  <c r="J105" i="8"/>
  <c r="J105" i="3"/>
  <c r="J94" i="8"/>
  <c r="J101" i="8"/>
  <c r="J82" i="8"/>
  <c r="J107" i="8"/>
  <c r="J106" i="8"/>
  <c r="J108" i="8" l="1"/>
  <c r="J108" i="7"/>
  <c r="L341" i="2"/>
  <c r="K337" i="2"/>
  <c r="I361" i="2"/>
  <c r="L361" i="2" s="1"/>
  <c r="J108" i="3"/>
  <c r="L348" i="2"/>
  <c r="L355" i="2"/>
  <c r="L340" i="2"/>
  <c r="F361" i="2"/>
  <c r="L352" i="2"/>
  <c r="L333" i="2"/>
  <c r="L349" i="2"/>
  <c r="L344" i="2"/>
  <c r="L354" i="2"/>
  <c r="L336" i="2"/>
  <c r="G361" i="2"/>
  <c r="K361" i="2" s="1"/>
  <c r="C361" i="2"/>
  <c r="M334" i="2"/>
  <c r="H299" i="2"/>
  <c r="H321" i="2"/>
  <c r="H315" i="2"/>
  <c r="H297" i="2"/>
  <c r="H319" i="2"/>
  <c r="H309" i="2"/>
  <c r="H295" i="2"/>
  <c r="L339" i="2"/>
  <c r="L332" i="2"/>
  <c r="L337" i="2"/>
  <c r="L347" i="2"/>
  <c r="L343" i="2"/>
  <c r="K331" i="2"/>
  <c r="K345" i="2"/>
  <c r="K347" i="2"/>
  <c r="K355" i="2"/>
  <c r="K341" i="2"/>
  <c r="K344" i="2"/>
  <c r="K349" i="2"/>
  <c r="H317" i="2"/>
  <c r="H305" i="2"/>
  <c r="H301" i="2"/>
  <c r="H307" i="2"/>
  <c r="H311" i="2"/>
  <c r="H313" i="2"/>
  <c r="H303" i="2"/>
  <c r="L331" i="2"/>
  <c r="L342" i="2"/>
  <c r="L350" i="2"/>
  <c r="L356" i="2"/>
  <c r="L345" i="2"/>
  <c r="K332" i="2"/>
  <c r="K336" i="2"/>
  <c r="K343" i="2"/>
  <c r="K350" i="2"/>
  <c r="K352" i="2"/>
  <c r="K354" i="2"/>
  <c r="K356" i="2"/>
  <c r="K333" i="2"/>
  <c r="K340" i="2"/>
  <c r="K342" i="2"/>
  <c r="K348" i="2"/>
  <c r="K124" i="6"/>
  <c r="M341" i="2" l="1"/>
  <c r="M352" i="2"/>
  <c r="M337" i="2"/>
  <c r="N361" i="2"/>
  <c r="M348" i="2"/>
  <c r="M340" i="2"/>
  <c r="M333" i="2"/>
  <c r="M343" i="2"/>
  <c r="M349" i="2"/>
  <c r="M356" i="2"/>
  <c r="M354" i="2"/>
  <c r="M347" i="2"/>
  <c r="M339" i="2"/>
  <c r="M361" i="2"/>
  <c r="M331" i="2"/>
  <c r="M345" i="2"/>
  <c r="M350" i="2"/>
  <c r="K123" i="6"/>
  <c r="K122" i="6"/>
  <c r="K121" i="6"/>
  <c r="K120" i="6"/>
  <c r="K119" i="6"/>
  <c r="K118" i="6"/>
  <c r="K117" i="6" l="1"/>
  <c r="K116" i="6"/>
  <c r="K115" i="6"/>
  <c r="K114" i="6"/>
  <c r="K113" i="6"/>
  <c r="K112" i="6"/>
  <c r="K111" i="6"/>
  <c r="K110" i="6"/>
  <c r="K109" i="6"/>
  <c r="K108" i="6"/>
  <c r="K107" i="6"/>
  <c r="K106" i="6"/>
  <c r="K105" i="6"/>
  <c r="K104" i="6"/>
  <c r="K103" i="6"/>
  <c r="K102" i="6"/>
  <c r="K101" i="6"/>
  <c r="K100" i="6"/>
  <c r="K99" i="6"/>
  <c r="K98" i="6"/>
  <c r="K97" i="6"/>
  <c r="K96" i="6"/>
  <c r="K95" i="6"/>
  <c r="F95" i="6"/>
  <c r="C95" i="6"/>
  <c r="N95" i="6" l="1"/>
  <c r="E95" i="6"/>
  <c r="H95" i="6" s="1"/>
  <c r="G95" i="6"/>
  <c r="K94" i="6"/>
  <c r="D94" i="6" l="1"/>
  <c r="C94" i="6"/>
  <c r="B94" i="6"/>
  <c r="B95" i="6" s="1"/>
  <c r="K93" i="6"/>
  <c r="K126" i="6" s="1"/>
  <c r="C93" i="6"/>
  <c r="N93" i="6" l="1"/>
  <c r="E94" i="6"/>
  <c r="N94" i="6"/>
  <c r="G93" i="6"/>
  <c r="G94" i="6"/>
  <c r="F94" i="6"/>
  <c r="E93" i="6"/>
  <c r="K79" i="6"/>
  <c r="K78" i="6"/>
  <c r="K77" i="6"/>
  <c r="K76" i="6"/>
  <c r="K75" i="6"/>
  <c r="H94" i="6" l="1"/>
  <c r="F93" i="6"/>
  <c r="I93" i="6"/>
  <c r="H93" i="6" s="1"/>
  <c r="K74" i="6"/>
  <c r="K73" i="6"/>
  <c r="K72" i="6"/>
  <c r="K71" i="6"/>
  <c r="K70" i="6"/>
  <c r="K69" i="6"/>
  <c r="K68" i="6"/>
  <c r="K67" i="6"/>
  <c r="K66" i="6"/>
  <c r="K65" i="6"/>
  <c r="K64" i="6"/>
  <c r="K63" i="6"/>
  <c r="K62" i="6"/>
  <c r="K61" i="6"/>
  <c r="K60" i="6"/>
  <c r="K59" i="6"/>
  <c r="K58" i="6"/>
  <c r="K57" i="6"/>
  <c r="K56" i="6"/>
  <c r="K55" i="6"/>
  <c r="K54" i="6"/>
  <c r="K53" i="6"/>
  <c r="K52" i="6"/>
  <c r="K51" i="6"/>
  <c r="K50" i="6"/>
  <c r="J93" i="6" l="1"/>
  <c r="K49" i="6"/>
  <c r="J94" i="6" l="1"/>
  <c r="D49" i="6"/>
  <c r="F49" i="6" s="1"/>
  <c r="C49" i="6"/>
  <c r="N49" i="6" s="1"/>
  <c r="B49" i="6"/>
  <c r="K48" i="6"/>
  <c r="F48" i="6"/>
  <c r="C48" i="6"/>
  <c r="K32" i="6"/>
  <c r="C32" i="6"/>
  <c r="K31" i="6"/>
  <c r="C31" i="6"/>
  <c r="K30" i="6"/>
  <c r="K29" i="6"/>
  <c r="C29" i="6"/>
  <c r="K28" i="6"/>
  <c r="C28" i="6"/>
  <c r="K27" i="6"/>
  <c r="C27" i="6"/>
  <c r="K26" i="6"/>
  <c r="K25" i="6"/>
  <c r="C25" i="6"/>
  <c r="K24" i="6"/>
  <c r="C24" i="6"/>
  <c r="K23" i="6"/>
  <c r="C23" i="6"/>
  <c r="K22" i="6"/>
  <c r="K21" i="6"/>
  <c r="C21" i="6"/>
  <c r="N21" i="6" s="1"/>
  <c r="K20" i="6"/>
  <c r="C20" i="6"/>
  <c r="K19" i="6"/>
  <c r="C19" i="6"/>
  <c r="N19" i="6" s="1"/>
  <c r="K18" i="6"/>
  <c r="K17" i="6"/>
  <c r="C17" i="6"/>
  <c r="N17" i="6" s="1"/>
  <c r="K16" i="6"/>
  <c r="C16" i="6"/>
  <c r="K15" i="6"/>
  <c r="C15" i="6"/>
  <c r="K14" i="6"/>
  <c r="K13" i="6"/>
  <c r="C13" i="6"/>
  <c r="N13" i="6" s="1"/>
  <c r="K12" i="6"/>
  <c r="C12" i="6"/>
  <c r="K11" i="6"/>
  <c r="C11" i="6"/>
  <c r="N11" i="6" s="1"/>
  <c r="K10" i="6"/>
  <c r="K9" i="6"/>
  <c r="C9" i="6"/>
  <c r="K8" i="6"/>
  <c r="C8" i="6"/>
  <c r="K7" i="6"/>
  <c r="C7" i="6"/>
  <c r="K6" i="6"/>
  <c r="K5" i="6"/>
  <c r="C5" i="6"/>
  <c r="N5" i="6" s="1"/>
  <c r="K4" i="6"/>
  <c r="C4" i="6"/>
  <c r="N4" i="6" s="1"/>
  <c r="N7" i="6" l="1"/>
  <c r="E28" i="6"/>
  <c r="N28" i="6"/>
  <c r="N15" i="6"/>
  <c r="E24" i="6"/>
  <c r="N24" i="6"/>
  <c r="N48" i="6"/>
  <c r="E25" i="6"/>
  <c r="N25" i="6"/>
  <c r="E12" i="6"/>
  <c r="N12" i="6"/>
  <c r="E31" i="6"/>
  <c r="N31" i="6"/>
  <c r="E16" i="6"/>
  <c r="N16" i="6"/>
  <c r="E8" i="6"/>
  <c r="N8" i="6"/>
  <c r="E27" i="6"/>
  <c r="N27" i="6"/>
  <c r="E20" i="6"/>
  <c r="N20" i="6"/>
  <c r="E29" i="6"/>
  <c r="N29" i="6"/>
  <c r="N9" i="6"/>
  <c r="N23" i="6"/>
  <c r="N32" i="6"/>
  <c r="E49" i="6"/>
  <c r="C97" i="6"/>
  <c r="N97" i="6" s="1"/>
  <c r="C51" i="6"/>
  <c r="N51" i="6" s="1"/>
  <c r="C98" i="6"/>
  <c r="N98" i="6" s="1"/>
  <c r="C52" i="6"/>
  <c r="N52" i="6" s="1"/>
  <c r="C100" i="6"/>
  <c r="N100" i="6" s="1"/>
  <c r="C54" i="6"/>
  <c r="N54" i="6" s="1"/>
  <c r="C104" i="6"/>
  <c r="N104" i="6" s="1"/>
  <c r="C58" i="6"/>
  <c r="N58" i="6" s="1"/>
  <c r="C106" i="6"/>
  <c r="N106" i="6" s="1"/>
  <c r="C60" i="6"/>
  <c r="N60" i="6" s="1"/>
  <c r="C108" i="6"/>
  <c r="N108" i="6" s="1"/>
  <c r="C62" i="6"/>
  <c r="N62" i="6" s="1"/>
  <c r="C110" i="6"/>
  <c r="C64" i="6"/>
  <c r="N64" i="6" s="1"/>
  <c r="C112" i="6"/>
  <c r="N112" i="6" s="1"/>
  <c r="C66" i="6"/>
  <c r="N66" i="6" s="1"/>
  <c r="C114" i="6"/>
  <c r="N114" i="6" s="1"/>
  <c r="C68" i="6"/>
  <c r="N68" i="6" s="1"/>
  <c r="C116" i="6"/>
  <c r="N116" i="6" s="1"/>
  <c r="C70" i="6"/>
  <c r="N70" i="6" s="1"/>
  <c r="C125" i="6"/>
  <c r="N125" i="6" s="1"/>
  <c r="C79" i="6"/>
  <c r="E48" i="6"/>
  <c r="C102" i="6"/>
  <c r="C56" i="6"/>
  <c r="N56" i="6" s="1"/>
  <c r="C101" i="6"/>
  <c r="N101" i="6" s="1"/>
  <c r="C55" i="6"/>
  <c r="N55" i="6" s="1"/>
  <c r="C105" i="6"/>
  <c r="N105" i="6" s="1"/>
  <c r="C59" i="6"/>
  <c r="N59" i="6" s="1"/>
  <c r="C109" i="6"/>
  <c r="N109" i="6" s="1"/>
  <c r="C63" i="6"/>
  <c r="N63" i="6" s="1"/>
  <c r="C113" i="6"/>
  <c r="N113" i="6" s="1"/>
  <c r="C67" i="6"/>
  <c r="N67" i="6" s="1"/>
  <c r="C117" i="6"/>
  <c r="N117" i="6" s="1"/>
  <c r="C71" i="6"/>
  <c r="N71" i="6" s="1"/>
  <c r="C118" i="6"/>
  <c r="N118" i="6" s="1"/>
  <c r="C72" i="6"/>
  <c r="N72" i="6" s="1"/>
  <c r="C120" i="6"/>
  <c r="N120" i="6" s="1"/>
  <c r="C74" i="6"/>
  <c r="N74" i="6" s="1"/>
  <c r="C121" i="6"/>
  <c r="N121" i="6" s="1"/>
  <c r="C75" i="6"/>
  <c r="N75" i="6" s="1"/>
  <c r="C122" i="6"/>
  <c r="N122" i="6" s="1"/>
  <c r="C76" i="6"/>
  <c r="N76" i="6" s="1"/>
  <c r="C124" i="6"/>
  <c r="N124" i="6" s="1"/>
  <c r="C78" i="6"/>
  <c r="I94" i="6"/>
  <c r="I95" i="6" s="1"/>
  <c r="J95" i="6"/>
  <c r="E4" i="6"/>
  <c r="E5" i="6"/>
  <c r="E7" i="6"/>
  <c r="E9" i="6"/>
  <c r="E11" i="6"/>
  <c r="E13" i="6"/>
  <c r="E15" i="6"/>
  <c r="E17" i="6"/>
  <c r="E19" i="6"/>
  <c r="E21" i="6"/>
  <c r="E23" i="6"/>
  <c r="E32" i="6"/>
  <c r="G48" i="6"/>
  <c r="G49" i="6"/>
  <c r="K3" i="6"/>
  <c r="B3" i="6"/>
  <c r="B4" i="6" s="1"/>
  <c r="B5" i="6" s="1"/>
  <c r="K2" i="6"/>
  <c r="F2" i="6" s="1"/>
  <c r="C2" i="6"/>
  <c r="M278" i="5"/>
  <c r="M277" i="5"/>
  <c r="M276" i="5"/>
  <c r="M275" i="5"/>
  <c r="M274" i="5"/>
  <c r="M273" i="5"/>
  <c r="M272" i="5"/>
  <c r="M271" i="5"/>
  <c r="M270" i="5"/>
  <c r="M269" i="5"/>
  <c r="M268" i="5"/>
  <c r="M267" i="5"/>
  <c r="M266" i="5"/>
  <c r="M265" i="5"/>
  <c r="M264" i="5"/>
  <c r="M263" i="5"/>
  <c r="M262" i="5"/>
  <c r="M261" i="5"/>
  <c r="M260" i="5"/>
  <c r="M259" i="5"/>
  <c r="M258" i="5"/>
  <c r="M257" i="5"/>
  <c r="M256" i="5"/>
  <c r="M255" i="5"/>
  <c r="M254" i="5"/>
  <c r="M253" i="5"/>
  <c r="M252" i="5"/>
  <c r="M251" i="5"/>
  <c r="M250" i="5"/>
  <c r="M249" i="5"/>
  <c r="M248" i="5"/>
  <c r="M247" i="5"/>
  <c r="M246" i="5"/>
  <c r="N2" i="6" l="1"/>
  <c r="N78" i="6"/>
  <c r="N79" i="6"/>
  <c r="N102" i="6"/>
  <c r="N110" i="6"/>
  <c r="E122" i="6"/>
  <c r="E75" i="6"/>
  <c r="E120" i="6"/>
  <c r="E72" i="6"/>
  <c r="E117" i="6"/>
  <c r="E67" i="6"/>
  <c r="E109" i="6"/>
  <c r="E59" i="6"/>
  <c r="E101" i="6"/>
  <c r="E56" i="6"/>
  <c r="E125" i="6"/>
  <c r="E70" i="6"/>
  <c r="E114" i="6"/>
  <c r="E66" i="6"/>
  <c r="E62" i="6"/>
  <c r="E106" i="6"/>
  <c r="E58" i="6"/>
  <c r="E100" i="6"/>
  <c r="E52" i="6"/>
  <c r="E97" i="6"/>
  <c r="I48" i="6"/>
  <c r="H48" i="6" s="1"/>
  <c r="E124" i="6"/>
  <c r="E76" i="6"/>
  <c r="E121" i="6"/>
  <c r="E74" i="6"/>
  <c r="E118" i="6"/>
  <c r="E71" i="6"/>
  <c r="E113" i="6"/>
  <c r="E63" i="6"/>
  <c r="E105" i="6"/>
  <c r="E55" i="6"/>
  <c r="E116" i="6"/>
  <c r="E68" i="6"/>
  <c r="E112" i="6"/>
  <c r="E64" i="6"/>
  <c r="E108" i="6"/>
  <c r="E60" i="6"/>
  <c r="E104" i="6"/>
  <c r="E54" i="6"/>
  <c r="E98" i="6"/>
  <c r="E51" i="6"/>
  <c r="E2" i="6"/>
  <c r="G2" i="6"/>
  <c r="D166" i="5"/>
  <c r="M124" i="5"/>
  <c r="M123" i="5"/>
  <c r="M122" i="5"/>
  <c r="M121" i="5"/>
  <c r="M120" i="5"/>
  <c r="M119" i="5"/>
  <c r="M118" i="5"/>
  <c r="M117" i="5"/>
  <c r="M116" i="5"/>
  <c r="M115" i="5"/>
  <c r="M114" i="5"/>
  <c r="M113" i="5"/>
  <c r="M112" i="5"/>
  <c r="M111" i="5"/>
  <c r="M110" i="5"/>
  <c r="M109" i="5"/>
  <c r="M108" i="5"/>
  <c r="M107" i="5"/>
  <c r="M106" i="5"/>
  <c r="M105" i="5"/>
  <c r="M104" i="5"/>
  <c r="M103" i="5"/>
  <c r="M102" i="5"/>
  <c r="M101" i="5"/>
  <c r="M100" i="5"/>
  <c r="M99" i="5"/>
  <c r="M98" i="5"/>
  <c r="M97" i="5"/>
  <c r="M96" i="5"/>
  <c r="M95" i="5"/>
  <c r="M94" i="5"/>
  <c r="M93" i="5"/>
  <c r="M92" i="5"/>
  <c r="I2" i="6" l="1"/>
  <c r="J48" i="6"/>
  <c r="J16" i="5"/>
  <c r="J170" i="5" s="1"/>
  <c r="B16" i="5"/>
  <c r="J12" i="5"/>
  <c r="F8" i="5"/>
  <c r="F7" i="5" s="1"/>
  <c r="F6" i="5" s="1"/>
  <c r="F4" i="5" s="1"/>
  <c r="F2" i="5"/>
  <c r="B1677" i="4"/>
  <c r="B1676" i="4"/>
  <c r="B1675" i="4"/>
  <c r="B1674" i="4"/>
  <c r="B1673" i="4"/>
  <c r="B1672" i="4"/>
  <c r="B1671" i="4"/>
  <c r="B1670" i="4"/>
  <c r="B1669" i="4"/>
  <c r="B1668" i="4"/>
  <c r="B1667" i="4"/>
  <c r="B1666" i="4"/>
  <c r="B1665" i="4"/>
  <c r="B1664" i="4"/>
  <c r="B1663" i="4"/>
  <c r="B1662" i="4"/>
  <c r="B1661" i="4"/>
  <c r="B1660" i="4"/>
  <c r="B1659" i="4"/>
  <c r="B1658" i="4"/>
  <c r="B1657" i="4"/>
  <c r="B1656" i="4"/>
  <c r="B1655" i="4"/>
  <c r="B1654" i="4"/>
  <c r="B1653" i="4"/>
  <c r="B1652" i="4"/>
  <c r="B1651" i="4"/>
  <c r="B1650" i="4"/>
  <c r="B1649" i="4"/>
  <c r="B1648" i="4"/>
  <c r="B1647" i="4"/>
  <c r="O1607" i="4"/>
  <c r="G1607" i="4"/>
  <c r="B1532" i="4"/>
  <c r="D1488" i="4"/>
  <c r="C1488" i="4"/>
  <c r="B1488" i="4"/>
  <c r="G1486" i="4"/>
  <c r="D1486" i="4"/>
  <c r="C1486" i="4"/>
  <c r="B1486" i="4"/>
  <c r="D1484" i="4"/>
  <c r="C1484" i="4"/>
  <c r="B1484" i="4"/>
  <c r="D1482" i="4"/>
  <c r="C1482" i="4"/>
  <c r="B1482" i="4"/>
  <c r="G1480" i="4"/>
  <c r="D1480" i="4"/>
  <c r="C1480" i="4"/>
  <c r="B1480" i="4"/>
  <c r="B1431" i="4"/>
  <c r="B1430" i="4"/>
  <c r="B1429" i="4"/>
  <c r="B1428" i="4"/>
  <c r="B1427" i="4"/>
  <c r="B1426" i="4"/>
  <c r="B1425" i="4"/>
  <c r="B1424" i="4"/>
  <c r="B1423" i="4"/>
  <c r="B1422" i="4"/>
  <c r="B1421" i="4"/>
  <c r="B1420" i="4"/>
  <c r="B1419" i="4"/>
  <c r="B1418" i="4"/>
  <c r="B1417" i="4"/>
  <c r="B1416" i="4"/>
  <c r="B1415" i="4"/>
  <c r="B1414" i="4"/>
  <c r="B1413" i="4"/>
  <c r="B1412" i="4"/>
  <c r="B1411" i="4"/>
  <c r="B1410" i="4"/>
  <c r="B1409" i="4"/>
  <c r="B1408" i="4"/>
  <c r="B1407" i="4"/>
  <c r="B1406" i="4"/>
  <c r="B1405" i="4"/>
  <c r="B1404" i="4"/>
  <c r="B1403" i="4"/>
  <c r="B1402" i="4"/>
  <c r="B1401" i="4"/>
  <c r="O1361" i="4"/>
  <c r="G1361" i="4"/>
  <c r="B1286" i="4"/>
  <c r="D1242" i="4"/>
  <c r="C1242" i="4"/>
  <c r="B1242" i="4"/>
  <c r="G1240" i="4"/>
  <c r="D1240" i="4"/>
  <c r="C1240" i="4"/>
  <c r="B1240" i="4"/>
  <c r="D1238" i="4"/>
  <c r="C1238" i="4"/>
  <c r="B1238" i="4"/>
  <c r="D1236" i="4"/>
  <c r="C1236" i="4"/>
  <c r="B1236" i="4"/>
  <c r="I1234" i="4"/>
  <c r="H1234" i="4"/>
  <c r="G1234" i="4"/>
  <c r="D1234" i="4"/>
  <c r="C1234" i="4"/>
  <c r="B1234" i="4"/>
  <c r="B1185" i="4"/>
  <c r="B1184" i="4"/>
  <c r="B1183" i="4"/>
  <c r="B1182" i="4"/>
  <c r="B1181" i="4"/>
  <c r="B1180" i="4"/>
  <c r="B1179" i="4"/>
  <c r="B1178" i="4"/>
  <c r="B1177" i="4"/>
  <c r="B1176" i="4"/>
  <c r="B1175" i="4"/>
  <c r="B1174" i="4"/>
  <c r="B1173" i="4"/>
  <c r="B1172" i="4"/>
  <c r="B1171" i="4"/>
  <c r="B1170" i="4"/>
  <c r="B1169" i="4"/>
  <c r="B1168" i="4"/>
  <c r="B1167" i="4"/>
  <c r="B1166" i="4"/>
  <c r="B1165" i="4"/>
  <c r="B1164" i="4"/>
  <c r="B1163" i="4"/>
  <c r="B1162" i="4"/>
  <c r="B1161" i="4"/>
  <c r="B1160" i="4"/>
  <c r="B1159" i="4"/>
  <c r="B1158" i="4"/>
  <c r="B1157" i="4"/>
  <c r="B1156" i="4"/>
  <c r="B1155" i="4"/>
  <c r="O1115" i="4"/>
  <c r="G1115" i="4"/>
  <c r="B1040" i="4"/>
  <c r="D996" i="4"/>
  <c r="C996" i="4"/>
  <c r="B996" i="4"/>
  <c r="G994" i="4"/>
  <c r="D994" i="4"/>
  <c r="C994" i="4"/>
  <c r="B994" i="4"/>
  <c r="D992" i="4"/>
  <c r="C992" i="4"/>
  <c r="B992" i="4"/>
  <c r="D990" i="4"/>
  <c r="C990" i="4"/>
  <c r="B990" i="4"/>
  <c r="G988" i="4"/>
  <c r="D988" i="4"/>
  <c r="C988" i="4"/>
  <c r="B988" i="4"/>
  <c r="B940" i="4"/>
  <c r="B939" i="4"/>
  <c r="B938" i="4"/>
  <c r="B937" i="4"/>
  <c r="B936" i="4"/>
  <c r="B935" i="4"/>
  <c r="B934" i="4"/>
  <c r="B933" i="4"/>
  <c r="B932" i="4"/>
  <c r="B931" i="4"/>
  <c r="B930" i="4"/>
  <c r="B929" i="4"/>
  <c r="B928" i="4"/>
  <c r="B927" i="4"/>
  <c r="B926" i="4"/>
  <c r="B925" i="4"/>
  <c r="B924" i="4"/>
  <c r="B923" i="4"/>
  <c r="B922" i="4"/>
  <c r="B921" i="4"/>
  <c r="B920" i="4"/>
  <c r="B919" i="4"/>
  <c r="B918" i="4"/>
  <c r="B917" i="4"/>
  <c r="B916" i="4"/>
  <c r="B915" i="4"/>
  <c r="B914" i="4"/>
  <c r="B913" i="4"/>
  <c r="B912" i="4"/>
  <c r="B911" i="4"/>
  <c r="B910" i="4"/>
  <c r="O870" i="4"/>
  <c r="G870" i="4"/>
  <c r="B170" i="5" l="1"/>
  <c r="I988" i="4"/>
  <c r="H988" i="4" s="1"/>
  <c r="I1480" i="4"/>
  <c r="H1480" i="4" s="1"/>
  <c r="H2" i="6"/>
  <c r="B53" i="5"/>
  <c r="B795" i="4"/>
  <c r="D751" i="4"/>
  <c r="C751" i="4"/>
  <c r="B751" i="4"/>
  <c r="G749" i="4"/>
  <c r="D749" i="4"/>
  <c r="C749" i="4"/>
  <c r="B749" i="4"/>
  <c r="D747" i="4"/>
  <c r="C747" i="4"/>
  <c r="B747" i="4"/>
  <c r="D745" i="4"/>
  <c r="C745" i="4"/>
  <c r="B745" i="4"/>
  <c r="G743" i="4"/>
  <c r="D743" i="4"/>
  <c r="C743" i="4"/>
  <c r="B743" i="4"/>
  <c r="B695" i="4"/>
  <c r="B694" i="4"/>
  <c r="B693" i="4"/>
  <c r="B692" i="4"/>
  <c r="B691" i="4"/>
  <c r="B690" i="4"/>
  <c r="B689" i="4"/>
  <c r="B688" i="4"/>
  <c r="B687" i="4"/>
  <c r="B686" i="4"/>
  <c r="B685" i="4"/>
  <c r="B684" i="4"/>
  <c r="B683" i="4"/>
  <c r="B682" i="4"/>
  <c r="B681" i="4"/>
  <c r="B680" i="4"/>
  <c r="B679" i="4"/>
  <c r="B678" i="4"/>
  <c r="B677" i="4"/>
  <c r="B676" i="4"/>
  <c r="B675" i="4"/>
  <c r="B674" i="4"/>
  <c r="B673" i="4"/>
  <c r="B672" i="4"/>
  <c r="B671" i="4"/>
  <c r="B670" i="4"/>
  <c r="B669" i="4"/>
  <c r="B668" i="4"/>
  <c r="B667" i="4"/>
  <c r="B666" i="4"/>
  <c r="B665" i="4"/>
  <c r="O625" i="4"/>
  <c r="G625" i="4"/>
  <c r="B550" i="4"/>
  <c r="D506" i="4"/>
  <c r="C506" i="4"/>
  <c r="B506" i="4"/>
  <c r="G504" i="4"/>
  <c r="D504" i="4"/>
  <c r="C504" i="4"/>
  <c r="B504" i="4"/>
  <c r="D502" i="4"/>
  <c r="C502" i="4"/>
  <c r="B502" i="4"/>
  <c r="D500" i="4"/>
  <c r="C500" i="4"/>
  <c r="B500" i="4"/>
  <c r="I498" i="4"/>
  <c r="I743" i="4" l="1"/>
  <c r="H743" i="4" s="1"/>
  <c r="J2" i="6"/>
  <c r="H498" i="4"/>
  <c r="G498" i="4"/>
  <c r="D498" i="4"/>
  <c r="C498" i="4"/>
  <c r="B498" i="4"/>
  <c r="B453" i="4" l="1"/>
  <c r="B452" i="4" l="1"/>
  <c r="B451" i="4" l="1"/>
  <c r="B450" i="4" l="1"/>
  <c r="B449" i="4" l="1"/>
  <c r="B448" i="4"/>
  <c r="B447" i="4" l="1"/>
  <c r="B446" i="4" l="1"/>
  <c r="B445" i="4" l="1"/>
  <c r="B444" i="4"/>
  <c r="B443" i="4" l="1"/>
  <c r="B442" i="4" l="1"/>
  <c r="B441" i="4"/>
  <c r="B440" i="4"/>
  <c r="B439" i="4"/>
  <c r="B438" i="4"/>
  <c r="B437" i="4"/>
  <c r="B436" i="4"/>
  <c r="B435" i="4"/>
  <c r="B434" i="4"/>
  <c r="B433" i="4"/>
  <c r="B432" i="4" l="1"/>
  <c r="B431" i="4"/>
  <c r="B430" i="4"/>
  <c r="B429" i="4" l="1"/>
  <c r="B428" i="4"/>
  <c r="B427" i="4"/>
  <c r="B426" i="4" l="1"/>
  <c r="B425" i="4"/>
  <c r="B424" i="4"/>
  <c r="B423" i="4" l="1"/>
  <c r="B422" i="4"/>
  <c r="B421" i="4"/>
  <c r="O381" i="4"/>
  <c r="G381" i="4"/>
  <c r="D259" i="4"/>
  <c r="C259" i="4"/>
  <c r="B259" i="4"/>
  <c r="D257" i="4"/>
  <c r="C257" i="4"/>
  <c r="B257" i="4"/>
  <c r="D255" i="4"/>
  <c r="C255" i="4"/>
  <c r="B255" i="4"/>
  <c r="D253" i="4"/>
  <c r="C253" i="4"/>
  <c r="B253" i="4"/>
  <c r="I251" i="4"/>
  <c r="H251" i="4"/>
  <c r="G251" i="4"/>
  <c r="D251" i="4"/>
  <c r="C251" i="4"/>
  <c r="B251" i="4"/>
  <c r="B204" i="4"/>
  <c r="B203" i="4"/>
  <c r="B202" i="4"/>
  <c r="B201" i="4"/>
  <c r="B200" i="4"/>
  <c r="B199" i="4"/>
  <c r="B198" i="4"/>
  <c r="B197" i="4"/>
  <c r="B196" i="4"/>
  <c r="B195" i="4"/>
  <c r="B194" i="4"/>
  <c r="B193" i="4"/>
  <c r="B192" i="4"/>
  <c r="B191" i="4"/>
  <c r="B190" i="4"/>
  <c r="B189" i="4"/>
  <c r="B188" i="4"/>
  <c r="B187" i="4"/>
  <c r="B186" i="4"/>
  <c r="B185" i="4"/>
  <c r="B184" i="4"/>
  <c r="B183" i="4"/>
  <c r="B182" i="4"/>
  <c r="B181" i="4"/>
  <c r="B180" i="4"/>
  <c r="B179" i="4"/>
  <c r="B178" i="4"/>
  <c r="B177" i="4"/>
  <c r="B176" i="4"/>
  <c r="B175" i="4"/>
  <c r="B174" i="4"/>
  <c r="B173" i="4"/>
  <c r="B172" i="4"/>
  <c r="O131" i="4"/>
  <c r="G207" i="4" s="1"/>
  <c r="G131" i="4"/>
  <c r="B57" i="4"/>
  <c r="B305" i="4" s="1"/>
  <c r="B20" i="4"/>
  <c r="B19" i="4"/>
  <c r="I7" i="4"/>
  <c r="H7" i="4"/>
  <c r="G7" i="4"/>
  <c r="L3" i="4"/>
  <c r="F139" i="1"/>
  <c r="F138" i="1"/>
  <c r="F134" i="1"/>
  <c r="F133" i="1"/>
  <c r="F130" i="1"/>
  <c r="F127" i="1"/>
  <c r="F126" i="1"/>
  <c r="F123" i="1"/>
  <c r="F122" i="1"/>
  <c r="F119" i="1"/>
  <c r="F118" i="1"/>
  <c r="C117" i="1"/>
  <c r="F115" i="1"/>
  <c r="F114" i="1"/>
  <c r="C114" i="1"/>
  <c r="F111" i="1"/>
  <c r="C111" i="1"/>
  <c r="J148" i="2" s="1"/>
  <c r="F110" i="1"/>
  <c r="C110" i="1"/>
  <c r="G129" i="8" s="1"/>
  <c r="G128" i="8" s="1"/>
  <c r="A110" i="1"/>
  <c r="C109" i="1"/>
  <c r="F108" i="1"/>
  <c r="C79" i="1"/>
  <c r="C76" i="1"/>
  <c r="I148" i="2" s="1"/>
  <c r="D75" i="1"/>
  <c r="A75" i="1"/>
  <c r="C49" i="1"/>
  <c r="G1" i="2" s="1"/>
  <c r="C44" i="1"/>
  <c r="C41" i="1"/>
  <c r="D40" i="1"/>
  <c r="A40" i="1"/>
  <c r="C20" i="1"/>
  <c r="L16" i="1"/>
  <c r="K16" i="1"/>
  <c r="L15" i="1"/>
  <c r="K15" i="1"/>
  <c r="J15" i="1" s="1"/>
  <c r="L14" i="1"/>
  <c r="K14" i="1"/>
  <c r="L13" i="1"/>
  <c r="K13" i="1"/>
  <c r="L12" i="1"/>
  <c r="K12" i="1"/>
  <c r="L11" i="1"/>
  <c r="K11" i="1"/>
  <c r="J11" i="1" s="1"/>
  <c r="L10" i="1"/>
  <c r="K10" i="1"/>
  <c r="C10" i="1"/>
  <c r="J10" i="1" l="1"/>
  <c r="J14" i="1"/>
  <c r="F128" i="8"/>
  <c r="D159" i="8"/>
  <c r="D160" i="8" s="1"/>
  <c r="D161" i="8" s="1"/>
  <c r="D162" i="8" s="1"/>
  <c r="D163" i="8" s="1"/>
  <c r="J13" i="1"/>
  <c r="I226" i="3"/>
  <c r="E158" i="7"/>
  <c r="H148" i="2"/>
  <c r="H143" i="2" s="1"/>
  <c r="H141" i="2" s="1"/>
  <c r="E330" i="2"/>
  <c r="E334" i="2"/>
  <c r="E343" i="2"/>
  <c r="E333" i="2"/>
  <c r="E337" i="2"/>
  <c r="E355" i="2"/>
  <c r="E354" i="2"/>
  <c r="E348" i="2"/>
  <c r="E340" i="2"/>
  <c r="E331" i="2"/>
  <c r="P331" i="2" s="1"/>
  <c r="Q331" i="2" s="1"/>
  <c r="E350" i="2"/>
  <c r="E349" i="2"/>
  <c r="E342" i="2"/>
  <c r="E356" i="2"/>
  <c r="E344" i="2"/>
  <c r="E336" i="2"/>
  <c r="E352" i="2"/>
  <c r="E341" i="2"/>
  <c r="E339" i="2"/>
  <c r="E361" i="2"/>
  <c r="E345" i="2"/>
  <c r="E347" i="2"/>
  <c r="E332" i="2"/>
  <c r="D110" i="1"/>
  <c r="I227" i="3"/>
  <c r="F158" i="7"/>
  <c r="J12" i="1"/>
  <c r="J16" i="1"/>
  <c r="I228" i="3"/>
  <c r="G158" i="7"/>
  <c r="H3" i="2"/>
  <c r="F3" i="2"/>
  <c r="D3" i="2"/>
  <c r="I3" i="2"/>
  <c r="G3" i="2"/>
  <c r="E3" i="2"/>
  <c r="C3" i="2"/>
  <c r="C39" i="1"/>
  <c r="G1644" i="4"/>
  <c r="G1398" i="4"/>
  <c r="G1152" i="4"/>
  <c r="G662" i="4"/>
  <c r="B94" i="4"/>
  <c r="G169" i="4"/>
  <c r="B266" i="4"/>
  <c r="B1495" i="4"/>
  <c r="B1571" i="4" s="1"/>
  <c r="B1249" i="4"/>
  <c r="B1325" i="4" s="1"/>
  <c r="B1003" i="4"/>
  <c r="B1079" i="4" s="1"/>
  <c r="B758" i="4"/>
  <c r="B834" i="4" s="1"/>
  <c r="B513" i="4"/>
  <c r="B589" i="4" s="1"/>
  <c r="B1533" i="4"/>
  <c r="B1287" i="4"/>
  <c r="B1041" i="4"/>
  <c r="B551" i="4"/>
  <c r="B796" i="4"/>
  <c r="G418" i="4"/>
  <c r="A385" i="8"/>
  <c r="B385" i="8" s="1"/>
  <c r="G121" i="8"/>
  <c r="G122" i="8" s="1"/>
  <c r="C159" i="8" s="1"/>
  <c r="I159" i="8"/>
  <c r="G159" i="8"/>
  <c r="H159" i="8"/>
  <c r="J160" i="8"/>
  <c r="E122" i="8"/>
  <c r="C143" i="8"/>
  <c r="I143" i="8"/>
  <c r="G143" i="8"/>
  <c r="H143" i="8"/>
  <c r="A383" i="8"/>
  <c r="B383" i="8" s="1"/>
  <c r="A413" i="8"/>
  <c r="B413" i="8" s="1"/>
  <c r="A394" i="8"/>
  <c r="B394" i="8" s="1"/>
  <c r="A402" i="8"/>
  <c r="B402" i="8" s="1"/>
  <c r="C402" i="8"/>
  <c r="D402" i="8" s="1"/>
  <c r="A391" i="8"/>
  <c r="B391" i="8" s="1"/>
  <c r="A393" i="8"/>
  <c r="B393" i="8" s="1"/>
  <c r="A396" i="8"/>
  <c r="B396" i="8" s="1"/>
  <c r="A387" i="8"/>
  <c r="B387" i="8" s="1"/>
  <c r="A399" i="8"/>
  <c r="B399" i="8" s="1"/>
  <c r="A401" i="8"/>
  <c r="B401" i="8" s="1"/>
  <c r="A384" i="8"/>
  <c r="B384" i="8" s="1"/>
  <c r="A400" i="8"/>
  <c r="B400" i="8" s="1"/>
  <c r="A390" i="8"/>
  <c r="B390" i="8" s="1"/>
  <c r="A388" i="8"/>
  <c r="B388" i="8" s="1"/>
  <c r="A389" i="8"/>
  <c r="B389" i="8" s="1"/>
  <c r="A392" i="8"/>
  <c r="C392" i="8" s="1"/>
  <c r="A403" i="8"/>
  <c r="C403" i="8" s="1"/>
  <c r="A398" i="8"/>
  <c r="C398" i="8" s="1"/>
  <c r="A404" i="8"/>
  <c r="E404" i="8" s="1"/>
  <c r="A395" i="8"/>
  <c r="C395" i="8" s="1"/>
  <c r="A405" i="8"/>
  <c r="C405" i="8" s="1"/>
  <c r="A397" i="8"/>
  <c r="C397" i="8" s="1"/>
  <c r="A407" i="8"/>
  <c r="E407" i="8" s="1"/>
  <c r="A406" i="8"/>
  <c r="C406" i="8" s="1"/>
  <c r="A408" i="8"/>
  <c r="C408" i="8" s="1"/>
  <c r="A409" i="8"/>
  <c r="C409" i="8" s="1"/>
  <c r="A410" i="8"/>
  <c r="E410" i="8" s="1"/>
  <c r="A411" i="8"/>
  <c r="C411" i="8" s="1"/>
  <c r="A412" i="8"/>
  <c r="C412" i="8" s="1"/>
  <c r="A414" i="8"/>
  <c r="C414" i="8" s="1"/>
  <c r="I110" i="2"/>
  <c r="I109" i="8" s="1"/>
  <c r="J109" i="8" s="1"/>
  <c r="A415" i="8" s="1"/>
  <c r="S261" i="2"/>
  <c r="S262" i="2" s="1"/>
  <c r="A386" i="8"/>
  <c r="B386" i="8" s="1"/>
  <c r="G907" i="4"/>
  <c r="O331" i="2"/>
  <c r="F109" i="1"/>
  <c r="O334" i="2"/>
  <c r="F112" i="1"/>
  <c r="A338" i="2"/>
  <c r="C338" i="2" s="1"/>
  <c r="E338" i="2" s="1"/>
  <c r="F116" i="1"/>
  <c r="O341" i="2"/>
  <c r="M342" i="2"/>
  <c r="O342" i="2" s="1"/>
  <c r="F120" i="1"/>
  <c r="O343" i="2"/>
  <c r="F121" i="1"/>
  <c r="O349" i="2"/>
  <c r="B1678" i="4"/>
  <c r="B1432" i="4"/>
  <c r="B1186" i="4"/>
  <c r="B941" i="4"/>
  <c r="B696" i="4"/>
  <c r="B1433" i="4"/>
  <c r="B1187" i="4"/>
  <c r="B942" i="4"/>
  <c r="B697" i="4"/>
  <c r="C3" i="6"/>
  <c r="C50" i="6" s="1"/>
  <c r="F144" i="6"/>
  <c r="F145" i="6" s="1"/>
  <c r="E102" i="6"/>
  <c r="F149" i="6"/>
  <c r="F150" i="6" s="1"/>
  <c r="E110" i="6"/>
  <c r="M332" i="2"/>
  <c r="O332" i="2" s="1"/>
  <c r="O339" i="2"/>
  <c r="F117" i="1"/>
  <c r="O347" i="2"/>
  <c r="F125" i="1"/>
  <c r="B588" i="4"/>
  <c r="B833" i="4"/>
  <c r="B1078" i="4"/>
  <c r="B1324" i="4"/>
  <c r="B1570" i="4"/>
  <c r="H49" i="6"/>
  <c r="J49" i="6" s="1"/>
  <c r="E78" i="6"/>
  <c r="E79" i="6"/>
  <c r="B207" i="5"/>
  <c r="I49" i="6"/>
  <c r="B50" i="6"/>
  <c r="B51" i="6" s="1"/>
  <c r="B52" i="6" s="1"/>
  <c r="B53" i="6" s="1"/>
  <c r="B54" i="6" s="1"/>
  <c r="B55" i="6" s="1"/>
  <c r="B56" i="6" s="1"/>
  <c r="B57" i="6" s="1"/>
  <c r="B58" i="6" s="1"/>
  <c r="B59" i="6" s="1"/>
  <c r="B60" i="6" s="1"/>
  <c r="B61" i="6" s="1"/>
  <c r="B62" i="6" s="1"/>
  <c r="B63" i="6" s="1"/>
  <c r="B64" i="6" s="1"/>
  <c r="B65" i="6" s="1"/>
  <c r="B66" i="6" s="1"/>
  <c r="B67" i="6" s="1"/>
  <c r="B68" i="6" s="1"/>
  <c r="B69" i="6" s="1"/>
  <c r="B70" i="6" s="1"/>
  <c r="B71" i="6" s="1"/>
  <c r="B72" i="6" s="1"/>
  <c r="B73" i="6" s="1"/>
  <c r="B74" i="6" s="1"/>
  <c r="B75" i="6" s="1"/>
  <c r="B76" i="6" s="1"/>
  <c r="B77" i="6" s="1"/>
  <c r="B78" i="6" s="1"/>
  <c r="B79" i="6" s="1"/>
  <c r="B96" i="6"/>
  <c r="B97" i="6" s="1"/>
  <c r="B98" i="6" s="1"/>
  <c r="B6" i="6"/>
  <c r="B7" i="6" s="1"/>
  <c r="B8" i="6" s="1"/>
  <c r="B9" i="6" s="1"/>
  <c r="B10" i="6" s="1"/>
  <c r="B11" i="6" s="1"/>
  <c r="B12" i="6" s="1"/>
  <c r="B13" i="6" s="1"/>
  <c r="B14" i="6" s="1"/>
  <c r="B15" i="6" s="1"/>
  <c r="B16" i="6" s="1"/>
  <c r="B17" i="6" s="1"/>
  <c r="B18" i="6" s="1"/>
  <c r="B19" i="6" s="1"/>
  <c r="B20" i="6" s="1"/>
  <c r="B21" i="6" s="1"/>
  <c r="B22" i="6" s="1"/>
  <c r="B23" i="6" s="1"/>
  <c r="B24" i="6" s="1"/>
  <c r="B25" i="6" s="1"/>
  <c r="B26" i="6" s="1"/>
  <c r="B27" i="6" s="1"/>
  <c r="B28" i="6" s="1"/>
  <c r="B29" i="6" s="1"/>
  <c r="B30" i="6" s="1"/>
  <c r="B31" i="6" s="1"/>
  <c r="B32" i="6" s="1"/>
  <c r="B99" i="6"/>
  <c r="B100" i="6" s="1"/>
  <c r="B101" i="6" s="1"/>
  <c r="B102" i="6" s="1"/>
  <c r="B103" i="6" s="1"/>
  <c r="B104" i="6" s="1"/>
  <c r="B105" i="6" s="1"/>
  <c r="B106" i="6" s="1"/>
  <c r="B107" i="6" s="1"/>
  <c r="B108" i="6" s="1"/>
  <c r="B109" i="6" s="1"/>
  <c r="B110" i="6" s="1"/>
  <c r="B111" i="6" s="1"/>
  <c r="B112" i="6" s="1"/>
  <c r="B113" i="6" s="1"/>
  <c r="B114" i="6" s="1"/>
  <c r="B115" i="6" s="1"/>
  <c r="B116" i="6" s="1"/>
  <c r="B117" i="6" s="1"/>
  <c r="B118" i="6" s="1"/>
  <c r="B119" i="6" s="1"/>
  <c r="B120" i="6" s="1"/>
  <c r="B121" i="6" s="1"/>
  <c r="B122" i="6" s="1"/>
  <c r="B123" i="6" s="1"/>
  <c r="B124" i="6" s="1"/>
  <c r="B125" i="6" s="1"/>
  <c r="A346" i="2"/>
  <c r="G346" i="2" s="1"/>
  <c r="K346" i="2" s="1"/>
  <c r="A360" i="2"/>
  <c r="G360" i="2" s="1"/>
  <c r="A335" i="2"/>
  <c r="G335" i="2" s="1"/>
  <c r="K335" i="2" s="1"/>
  <c r="A351" i="2"/>
  <c r="G351" i="2" s="1"/>
  <c r="D322" i="2"/>
  <c r="A358" i="2"/>
  <c r="G358" i="2" s="1"/>
  <c r="K358" i="2" s="1"/>
  <c r="A359" i="2"/>
  <c r="G359" i="2" s="1"/>
  <c r="K359" i="2" s="1"/>
  <c r="A357" i="2"/>
  <c r="G357" i="2" s="1"/>
  <c r="K357" i="2" s="1"/>
  <c r="A353" i="2"/>
  <c r="G353" i="2" s="1"/>
  <c r="B416" i="7"/>
  <c r="C416" i="7" s="1"/>
  <c r="D416" i="7" s="1"/>
  <c r="J90" i="7"/>
  <c r="B409" i="7" s="1"/>
  <c r="S295" i="2"/>
  <c r="S296" i="2" s="1"/>
  <c r="S297" i="2" s="1"/>
  <c r="S298" i="2" s="1"/>
  <c r="S299" i="2" s="1"/>
  <c r="S300" i="2" s="1"/>
  <c r="S301" i="2" s="1"/>
  <c r="S302" i="2" s="1"/>
  <c r="S303" i="2" s="1"/>
  <c r="S304" i="2" s="1"/>
  <c r="S305" i="2" s="1"/>
  <c r="S306" i="2" s="1"/>
  <c r="S307" i="2" s="1"/>
  <c r="S308" i="2" s="1"/>
  <c r="S309" i="2" s="1"/>
  <c r="S310" i="2" s="1"/>
  <c r="S311" i="2" s="1"/>
  <c r="S312" i="2" s="1"/>
  <c r="S313" i="2" s="1"/>
  <c r="S314" i="2" s="1"/>
  <c r="S315" i="2" s="1"/>
  <c r="S316" i="2" s="1"/>
  <c r="S317" i="2" s="1"/>
  <c r="S318" i="2" s="1"/>
  <c r="S319" i="2" s="1"/>
  <c r="S320" i="2" s="1"/>
  <c r="S321" i="2" s="1"/>
  <c r="S322" i="2" s="1"/>
  <c r="S323" i="2" s="1"/>
  <c r="S324" i="2" s="1"/>
  <c r="S325" i="2" s="1"/>
  <c r="S326" i="2" s="1"/>
  <c r="J103" i="7"/>
  <c r="B422" i="7" s="1"/>
  <c r="C422" i="7" s="1"/>
  <c r="D422" i="7" s="1"/>
  <c r="B419" i="7"/>
  <c r="C419" i="7" s="1"/>
  <c r="D419" i="7" s="1"/>
  <c r="B411" i="7"/>
  <c r="C411" i="7" s="1"/>
  <c r="D411" i="7" s="1"/>
  <c r="B396" i="7"/>
  <c r="C396" i="7" s="1"/>
  <c r="D396" i="7" s="1"/>
  <c r="C404" i="7"/>
  <c r="D404" i="7" s="1"/>
  <c r="J88" i="7"/>
  <c r="B407" i="7" s="1"/>
  <c r="C407" i="7" s="1"/>
  <c r="D407" i="7" s="1"/>
  <c r="J96" i="7"/>
  <c r="B415" i="7" s="1"/>
  <c r="C415" i="7" s="1"/>
  <c r="D415" i="7" s="1"/>
  <c r="C425" i="7"/>
  <c r="D425" i="7" s="1"/>
  <c r="B400" i="7"/>
  <c r="C400" i="7" s="1"/>
  <c r="D400" i="7" s="1"/>
  <c r="C420" i="7"/>
  <c r="D420" i="7" s="1"/>
  <c r="B405" i="7"/>
  <c r="C405" i="7" s="1"/>
  <c r="J91" i="7"/>
  <c r="B410" i="7" s="1"/>
  <c r="B412" i="7"/>
  <c r="C412" i="7" s="1"/>
  <c r="D412" i="7" s="1"/>
  <c r="C398" i="7"/>
  <c r="D398" i="7" s="1"/>
  <c r="J98" i="7"/>
  <c r="B417" i="7" s="1"/>
  <c r="C417" i="7" s="1"/>
  <c r="B413" i="7"/>
  <c r="C413" i="7" s="1"/>
  <c r="D413" i="7" s="1"/>
  <c r="J99" i="7"/>
  <c r="B418" i="7" s="1"/>
  <c r="C418" i="7" s="1"/>
  <c r="D418" i="7" s="1"/>
  <c r="M344" i="2"/>
  <c r="O344" i="2" s="1"/>
  <c r="B397" i="7"/>
  <c r="C397" i="7" s="1"/>
  <c r="D397" i="7" s="1"/>
  <c r="J95" i="7"/>
  <c r="B414" i="7" s="1"/>
  <c r="J102" i="7"/>
  <c r="B421" i="7" s="1"/>
  <c r="C421" i="7" s="1"/>
  <c r="D421" i="7" s="1"/>
  <c r="J82" i="7"/>
  <c r="B401" i="7" s="1"/>
  <c r="B408" i="7"/>
  <c r="C408" i="7" s="1"/>
  <c r="D408" i="7" s="1"/>
  <c r="B427" i="7"/>
  <c r="C427" i="7" s="1"/>
  <c r="D427" i="7" s="1"/>
  <c r="C423" i="7"/>
  <c r="D423" i="7" s="1"/>
  <c r="B424" i="7"/>
  <c r="C424" i="7" s="1"/>
  <c r="D424" i="7" s="1"/>
  <c r="J107" i="7"/>
  <c r="B426" i="7" s="1"/>
  <c r="B403" i="7"/>
  <c r="C403" i="7" s="1"/>
  <c r="D403" i="7" s="1"/>
  <c r="J83" i="7"/>
  <c r="B402" i="7" s="1"/>
  <c r="C402" i="7" s="1"/>
  <c r="D402" i="7" s="1"/>
  <c r="O337" i="2"/>
  <c r="M336" i="2"/>
  <c r="O336" i="2" s="1"/>
  <c r="J87" i="7"/>
  <c r="B406" i="7" s="1"/>
  <c r="F126" i="8"/>
  <c r="C155" i="8" s="1"/>
  <c r="F125" i="8"/>
  <c r="C154" i="8" s="1"/>
  <c r="D202" i="7"/>
  <c r="E152" i="7" s="1"/>
  <c r="J80" i="7"/>
  <c r="B399" i="7" s="1"/>
  <c r="C399" i="7" s="1"/>
  <c r="D399" i="7" s="1"/>
  <c r="I199" i="6"/>
  <c r="I237" i="6" s="1"/>
  <c r="H199" i="6"/>
  <c r="H237" i="6" s="1"/>
  <c r="G199" i="6"/>
  <c r="G237" i="6" s="1"/>
  <c r="F199" i="6"/>
  <c r="F237" i="6" s="1"/>
  <c r="E199" i="6"/>
  <c r="E237" i="6" s="1"/>
  <c r="D199" i="6"/>
  <c r="D237" i="6" s="1"/>
  <c r="C199" i="6"/>
  <c r="C237" i="6" s="1"/>
  <c r="F124" i="8"/>
  <c r="C153" i="8" s="1"/>
  <c r="S330" i="2"/>
  <c r="O330" i="2"/>
  <c r="N347" i="2"/>
  <c r="N330" i="2"/>
  <c r="N343" i="2"/>
  <c r="H130" i="2"/>
  <c r="H131" i="2" s="1"/>
  <c r="F123" i="8"/>
  <c r="C152" i="8" s="1"/>
  <c r="O348" i="2"/>
  <c r="O350" i="2"/>
  <c r="O345" i="2"/>
  <c r="O333" i="2"/>
  <c r="O352" i="2"/>
  <c r="F131" i="1"/>
  <c r="O354" i="2"/>
  <c r="F132" i="1"/>
  <c r="M355" i="2"/>
  <c r="O355" i="2" s="1"/>
  <c r="O356" i="2"/>
  <c r="O361" i="2"/>
  <c r="O340" i="2"/>
  <c r="F135" i="1"/>
  <c r="F136" i="1"/>
  <c r="F137" i="1"/>
  <c r="L253" i="2"/>
  <c r="I253" i="2"/>
  <c r="L252" i="2"/>
  <c r="F122" i="8"/>
  <c r="C151" i="8" s="1"/>
  <c r="I151" i="8"/>
  <c r="G151" i="8"/>
  <c r="H151" i="8"/>
  <c r="C202" i="7"/>
  <c r="B202" i="7"/>
  <c r="J198" i="7"/>
  <c r="F202" i="7" s="1"/>
  <c r="I198" i="7"/>
  <c r="E202" i="7" s="1"/>
  <c r="N331" i="2"/>
  <c r="N332" i="2"/>
  <c r="N336" i="2"/>
  <c r="N345" i="2"/>
  <c r="N348" i="2"/>
  <c r="N350" i="2"/>
  <c r="N352" i="2"/>
  <c r="N354" i="2"/>
  <c r="N356" i="2"/>
  <c r="N333" i="2"/>
  <c r="N334" i="2"/>
  <c r="N337" i="2"/>
  <c r="N339" i="2"/>
  <c r="N340" i="2"/>
  <c r="N341" i="2"/>
  <c r="N342" i="2"/>
  <c r="N344" i="2"/>
  <c r="N349" i="2"/>
  <c r="N355" i="2"/>
  <c r="F113" i="1"/>
  <c r="F124" i="1"/>
  <c r="F128" i="1"/>
  <c r="F129" i="1"/>
  <c r="J102" i="3"/>
  <c r="E402" i="8" l="1"/>
  <c r="F402" i="8" s="1"/>
  <c r="E386" i="8"/>
  <c r="F386" i="8" s="1"/>
  <c r="F338" i="2"/>
  <c r="S332" i="2"/>
  <c r="P332" i="2" s="1"/>
  <c r="Q332" i="2" s="1"/>
  <c r="R332" i="2" s="1"/>
  <c r="V332" i="2" s="1"/>
  <c r="F353" i="2"/>
  <c r="S263" i="2"/>
  <c r="S264" i="2" s="1"/>
  <c r="S333" i="2"/>
  <c r="P333" i="2" s="1"/>
  <c r="Q333" i="2" s="1"/>
  <c r="R333" i="2" s="1"/>
  <c r="U333" i="2" s="1"/>
  <c r="K81" i="2" s="1"/>
  <c r="G111" i="1" s="1"/>
  <c r="G126" i="8"/>
  <c r="C163" i="8" s="1"/>
  <c r="K163" i="8" s="1"/>
  <c r="J351" i="2"/>
  <c r="C413" i="8"/>
  <c r="D413" i="8" s="1"/>
  <c r="G124" i="8"/>
  <c r="C161" i="8" s="1"/>
  <c r="K161" i="8" s="1"/>
  <c r="F335" i="2"/>
  <c r="F351" i="2"/>
  <c r="G127" i="8"/>
  <c r="E394" i="8"/>
  <c r="F394" i="8" s="1"/>
  <c r="J143" i="8"/>
  <c r="E3" i="6"/>
  <c r="J346" i="2"/>
  <c r="E383" i="8"/>
  <c r="F383" i="8" s="1"/>
  <c r="I346" i="2"/>
  <c r="C346" i="2"/>
  <c r="E346" i="2" s="1"/>
  <c r="N346" i="2"/>
  <c r="F346" i="2"/>
  <c r="J353" i="2"/>
  <c r="I338" i="2"/>
  <c r="J360" i="2"/>
  <c r="C360" i="2"/>
  <c r="E360" i="2" s="1"/>
  <c r="I335" i="2"/>
  <c r="E396" i="8"/>
  <c r="F396" i="8" s="1"/>
  <c r="I351" i="2"/>
  <c r="E414" i="8"/>
  <c r="F414" i="8" s="1"/>
  <c r="E408" i="8"/>
  <c r="F408" i="8" s="1"/>
  <c r="E397" i="8"/>
  <c r="F397" i="8" s="1"/>
  <c r="E403" i="8"/>
  <c r="F403" i="8" s="1"/>
  <c r="E388" i="8"/>
  <c r="F388" i="8" s="1"/>
  <c r="E399" i="8"/>
  <c r="F399" i="8" s="1"/>
  <c r="C396" i="8"/>
  <c r="D396" i="8" s="1"/>
  <c r="E391" i="8"/>
  <c r="F391" i="8" s="1"/>
  <c r="P330" i="2"/>
  <c r="Q330" i="2" s="1"/>
  <c r="R330" i="2" s="1"/>
  <c r="V330" i="2" s="1"/>
  <c r="X331" i="2"/>
  <c r="M79" i="2" s="1"/>
  <c r="C351" i="2"/>
  <c r="E351" i="2" s="1"/>
  <c r="J338" i="2"/>
  <c r="E412" i="8"/>
  <c r="F412" i="8" s="1"/>
  <c r="E409" i="8"/>
  <c r="F409" i="8" s="1"/>
  <c r="E405" i="8"/>
  <c r="F405" i="8" s="1"/>
  <c r="E398" i="8"/>
  <c r="F398" i="8" s="1"/>
  <c r="E390" i="8"/>
  <c r="F390" i="8" s="1"/>
  <c r="E401" i="8"/>
  <c r="F401" i="8" s="1"/>
  <c r="E393" i="8"/>
  <c r="F393" i="8" s="1"/>
  <c r="C394" i="8"/>
  <c r="D394" i="8" s="1"/>
  <c r="G125" i="8"/>
  <c r="C162" i="8" s="1"/>
  <c r="K162" i="8" s="1"/>
  <c r="G123" i="8"/>
  <c r="C160" i="8" s="1"/>
  <c r="K160" i="8" s="1"/>
  <c r="N357" i="2"/>
  <c r="J357" i="2"/>
  <c r="J159" i="8"/>
  <c r="K159" i="8" s="1"/>
  <c r="D278" i="7"/>
  <c r="D277" i="7" s="1"/>
  <c r="D279" i="7"/>
  <c r="D276" i="7"/>
  <c r="H232" i="3"/>
  <c r="H231" i="3" s="1"/>
  <c r="G216" i="3" s="1"/>
  <c r="H230" i="3"/>
  <c r="J151" i="8"/>
  <c r="F359" i="2"/>
  <c r="J110" i="2"/>
  <c r="J358" i="2"/>
  <c r="C96" i="6"/>
  <c r="N96" i="6" s="1"/>
  <c r="N3" i="6"/>
  <c r="C410" i="8"/>
  <c r="C407" i="8"/>
  <c r="C404" i="8"/>
  <c r="C389" i="8"/>
  <c r="D389" i="8" s="1"/>
  <c r="C384" i="8"/>
  <c r="D384" i="8" s="1"/>
  <c r="E413" i="8"/>
  <c r="F413" i="8" s="1"/>
  <c r="C385" i="8"/>
  <c r="D385" i="8" s="1"/>
  <c r="D244" i="7"/>
  <c r="D245" i="7"/>
  <c r="D246" i="7"/>
  <c r="D247" i="7"/>
  <c r="H236" i="3"/>
  <c r="H235" i="3"/>
  <c r="H234" i="3"/>
  <c r="F357" i="2"/>
  <c r="I109" i="3"/>
  <c r="C399" i="8"/>
  <c r="D399" i="8" s="1"/>
  <c r="H240" i="3"/>
  <c r="H239" i="3"/>
  <c r="I357" i="2"/>
  <c r="L357" i="2" s="1"/>
  <c r="M357" i="2" s="1"/>
  <c r="O357" i="2" s="1"/>
  <c r="I109" i="7"/>
  <c r="J109" i="7" s="1"/>
  <c r="B428" i="7" s="1"/>
  <c r="C428" i="7" s="1"/>
  <c r="D428" i="7" s="1"/>
  <c r="D214" i="7"/>
  <c r="D212" i="7"/>
  <c r="D213" i="7"/>
  <c r="D211" i="7"/>
  <c r="I359" i="2"/>
  <c r="C357" i="2"/>
  <c r="E357" i="2" s="1"/>
  <c r="J359" i="2"/>
  <c r="C359" i="2"/>
  <c r="E359" i="2" s="1"/>
  <c r="E389" i="8"/>
  <c r="F389" i="8" s="1"/>
  <c r="E384" i="8"/>
  <c r="F384" i="8" s="1"/>
  <c r="E387" i="8"/>
  <c r="C391" i="8"/>
  <c r="D391" i="8" s="1"/>
  <c r="E385" i="8"/>
  <c r="F385" i="8" s="1"/>
  <c r="E128" i="8"/>
  <c r="D143" i="8" s="1"/>
  <c r="D144" i="8" s="1"/>
  <c r="D151" i="8"/>
  <c r="D152" i="8" s="1"/>
  <c r="D153" i="8" s="1"/>
  <c r="D154" i="8" s="1"/>
  <c r="D155" i="8" s="1"/>
  <c r="K155" i="8" s="1"/>
  <c r="E50" i="6"/>
  <c r="N50" i="6"/>
  <c r="K351" i="2"/>
  <c r="N351" i="2"/>
  <c r="C6" i="6"/>
  <c r="N6" i="6" s="1"/>
  <c r="C10" i="6"/>
  <c r="N10" i="6" s="1"/>
  <c r="C22" i="6"/>
  <c r="N22" i="6" s="1"/>
  <c r="C30" i="6"/>
  <c r="N30" i="6" s="1"/>
  <c r="C14" i="6"/>
  <c r="N14" i="6" s="1"/>
  <c r="C18" i="6"/>
  <c r="N18" i="6" s="1"/>
  <c r="C26" i="6"/>
  <c r="N26" i="6" s="1"/>
  <c r="J199" i="6"/>
  <c r="C386" i="8"/>
  <c r="D386" i="8" s="1"/>
  <c r="E411" i="8"/>
  <c r="F411" i="8" s="1"/>
  <c r="E406" i="8"/>
  <c r="F406" i="8" s="1"/>
  <c r="E395" i="8"/>
  <c r="F395" i="8" s="1"/>
  <c r="E392" i="8"/>
  <c r="F392" i="8" s="1"/>
  <c r="C390" i="8"/>
  <c r="D390" i="8" s="1"/>
  <c r="E400" i="8"/>
  <c r="F400" i="8" s="1"/>
  <c r="C383" i="8"/>
  <c r="D383" i="8" s="1"/>
  <c r="K353" i="2"/>
  <c r="N353" i="2"/>
  <c r="K360" i="2"/>
  <c r="N360" i="2"/>
  <c r="G402" i="8"/>
  <c r="H402" i="8" s="1"/>
  <c r="N359" i="2"/>
  <c r="N358" i="2"/>
  <c r="N335" i="2"/>
  <c r="I360" i="2"/>
  <c r="F360" i="2"/>
  <c r="I358" i="2"/>
  <c r="F358" i="2"/>
  <c r="I353" i="2"/>
  <c r="C353" i="2"/>
  <c r="E353" i="2" s="1"/>
  <c r="J335" i="2"/>
  <c r="C335" i="2"/>
  <c r="E335" i="2" s="1"/>
  <c r="C358" i="2"/>
  <c r="E358" i="2" s="1"/>
  <c r="D417" i="7"/>
  <c r="G338" i="2"/>
  <c r="R331" i="2"/>
  <c r="C388" i="8"/>
  <c r="D388" i="8" s="1"/>
  <c r="C400" i="8"/>
  <c r="D400" i="8" s="1"/>
  <c r="C401" i="8"/>
  <c r="D401" i="8" s="1"/>
  <c r="C387" i="8"/>
  <c r="D387" i="8" s="1"/>
  <c r="C393" i="8"/>
  <c r="D393" i="8" s="1"/>
  <c r="C414" i="7"/>
  <c r="D414" i="7" s="1"/>
  <c r="C406" i="7"/>
  <c r="D406" i="7" s="1"/>
  <c r="C426" i="7"/>
  <c r="D426" i="7" s="1"/>
  <c r="C401" i="7"/>
  <c r="D401" i="7" s="1"/>
  <c r="C409" i="7"/>
  <c r="D409" i="7" s="1"/>
  <c r="C410" i="7"/>
  <c r="D410" i="7" s="1"/>
  <c r="D405" i="7"/>
  <c r="C415" i="8"/>
  <c r="E415" i="8"/>
  <c r="F415" i="8" s="1"/>
  <c r="B414" i="8"/>
  <c r="D414" i="8" s="1"/>
  <c r="B412" i="8"/>
  <c r="B411" i="8"/>
  <c r="D411" i="8" s="1"/>
  <c r="B410" i="8"/>
  <c r="F410" i="8"/>
  <c r="B409" i="8"/>
  <c r="D409" i="8" s="1"/>
  <c r="B408" i="8"/>
  <c r="B406" i="8"/>
  <c r="D406" i="8" s="1"/>
  <c r="B407" i="8"/>
  <c r="F407" i="8"/>
  <c r="B397" i="8"/>
  <c r="D397" i="8" s="1"/>
  <c r="B405" i="8"/>
  <c r="B395" i="8"/>
  <c r="D395" i="8" s="1"/>
  <c r="B404" i="8"/>
  <c r="F404" i="8"/>
  <c r="B398" i="8"/>
  <c r="D398" i="8" s="1"/>
  <c r="B403" i="8"/>
  <c r="B392" i="8"/>
  <c r="D392" i="8" s="1"/>
  <c r="B415" i="8"/>
  <c r="C3" i="3"/>
  <c r="C3" i="8"/>
  <c r="C8" i="2"/>
  <c r="C14" i="2"/>
  <c r="C20" i="2"/>
  <c r="C24" i="2"/>
  <c r="C28" i="2"/>
  <c r="C32" i="2"/>
  <c r="C34" i="2"/>
  <c r="C35" i="2"/>
  <c r="C4" i="2"/>
  <c r="C5" i="2"/>
  <c r="C9" i="2"/>
  <c r="C10" i="2"/>
  <c r="C11" i="2"/>
  <c r="C15" i="2"/>
  <c r="C21" i="2"/>
  <c r="C25" i="2"/>
  <c r="C29" i="2"/>
  <c r="C33" i="2"/>
  <c r="C3" i="7"/>
  <c r="C6" i="2"/>
  <c r="C12" i="2"/>
  <c r="C16" i="2"/>
  <c r="C22" i="2"/>
  <c r="C26" i="2"/>
  <c r="C30" i="2"/>
  <c r="J3" i="2"/>
  <c r="C7" i="2"/>
  <c r="C13" i="2"/>
  <c r="C17" i="2"/>
  <c r="C18" i="2"/>
  <c r="C19" i="2"/>
  <c r="C23" i="2"/>
  <c r="C27" i="2"/>
  <c r="C31" i="2"/>
  <c r="G3" i="3"/>
  <c r="B1118" i="4" s="1"/>
  <c r="J1154" i="4" s="1"/>
  <c r="G3" i="8"/>
  <c r="G8" i="2"/>
  <c r="G14" i="2"/>
  <c r="G20" i="2"/>
  <c r="G24" i="2"/>
  <c r="G28" i="2"/>
  <c r="G32" i="2"/>
  <c r="G34" i="2"/>
  <c r="G35" i="2"/>
  <c r="G4" i="2"/>
  <c r="G5" i="2"/>
  <c r="G9" i="2"/>
  <c r="G10" i="2"/>
  <c r="G11" i="2"/>
  <c r="G15" i="2"/>
  <c r="G21" i="2"/>
  <c r="G25" i="2"/>
  <c r="G29" i="2"/>
  <c r="G33" i="2"/>
  <c r="G3" i="7"/>
  <c r="G6" i="2"/>
  <c r="G12" i="2"/>
  <c r="G16" i="2"/>
  <c r="G22" i="2"/>
  <c r="G26" i="2"/>
  <c r="G30" i="2"/>
  <c r="G7" i="2"/>
  <c r="G13" i="2"/>
  <c r="G17" i="2"/>
  <c r="G18" i="2"/>
  <c r="G19" i="2"/>
  <c r="G23" i="2"/>
  <c r="G27" i="2"/>
  <c r="G31" i="2"/>
  <c r="D33" i="2"/>
  <c r="D5" i="2"/>
  <c r="D9" i="2"/>
  <c r="D11" i="2"/>
  <c r="D15" i="2"/>
  <c r="D18" i="2"/>
  <c r="D21" i="2"/>
  <c r="D25" i="2"/>
  <c r="D29" i="2"/>
  <c r="D3" i="3"/>
  <c r="D3" i="8"/>
  <c r="D6" i="2"/>
  <c r="D12" i="2"/>
  <c r="D16" i="2"/>
  <c r="D22" i="2"/>
  <c r="D26" i="2"/>
  <c r="D30" i="2"/>
  <c r="D34" i="2"/>
  <c r="D4" i="2"/>
  <c r="D7" i="2"/>
  <c r="D10" i="2"/>
  <c r="D13" i="2"/>
  <c r="D17" i="2"/>
  <c r="D19" i="2"/>
  <c r="D23" i="2"/>
  <c r="D27" i="2"/>
  <c r="D31" i="2"/>
  <c r="D3" i="7"/>
  <c r="D8" i="2"/>
  <c r="D14" i="2"/>
  <c r="D20" i="2"/>
  <c r="D24" i="2"/>
  <c r="D28" i="2"/>
  <c r="D32" i="2"/>
  <c r="D35" i="2"/>
  <c r="H33" i="2"/>
  <c r="H5" i="2"/>
  <c r="H9" i="2"/>
  <c r="H11" i="2"/>
  <c r="H15" i="2"/>
  <c r="H18" i="2"/>
  <c r="H21" i="2"/>
  <c r="H25" i="2"/>
  <c r="H29" i="2"/>
  <c r="H3" i="3"/>
  <c r="B1364" i="4" s="1"/>
  <c r="H3" i="8"/>
  <c r="H6" i="2"/>
  <c r="H12" i="2"/>
  <c r="H16" i="2"/>
  <c r="H22" i="2"/>
  <c r="H26" i="2"/>
  <c r="H30" i="2"/>
  <c r="H34" i="2"/>
  <c r="H4" i="2"/>
  <c r="H7" i="2"/>
  <c r="H10" i="2"/>
  <c r="H13" i="2"/>
  <c r="H17" i="2"/>
  <c r="H19" i="2"/>
  <c r="H23" i="2"/>
  <c r="H27" i="2"/>
  <c r="H31" i="2"/>
  <c r="H3" i="7"/>
  <c r="H8" i="2"/>
  <c r="H14" i="2"/>
  <c r="H20" i="2"/>
  <c r="H24" i="2"/>
  <c r="H28" i="2"/>
  <c r="H32" i="2"/>
  <c r="H35" i="2"/>
  <c r="E3" i="7"/>
  <c r="E6" i="2"/>
  <c r="E12" i="2"/>
  <c r="E16" i="2"/>
  <c r="E22" i="2"/>
  <c r="E26" i="2"/>
  <c r="E30" i="2"/>
  <c r="E7" i="2"/>
  <c r="E13" i="2"/>
  <c r="E17" i="2"/>
  <c r="E18" i="2"/>
  <c r="E19" i="2"/>
  <c r="E23" i="2"/>
  <c r="E27" i="2"/>
  <c r="E31" i="2"/>
  <c r="E3" i="3"/>
  <c r="B628" i="4" s="1"/>
  <c r="E3" i="8"/>
  <c r="E8" i="2"/>
  <c r="E14" i="2"/>
  <c r="E20" i="2"/>
  <c r="E24" i="2"/>
  <c r="E28" i="2"/>
  <c r="E32" i="2"/>
  <c r="E34" i="2"/>
  <c r="E35" i="2"/>
  <c r="E4" i="2"/>
  <c r="E5" i="2"/>
  <c r="E9" i="2"/>
  <c r="E10" i="2"/>
  <c r="E11" i="2"/>
  <c r="E15" i="2"/>
  <c r="E21" i="2"/>
  <c r="E25" i="2"/>
  <c r="E29" i="2"/>
  <c r="E33" i="2"/>
  <c r="I3" i="7"/>
  <c r="I6" i="2"/>
  <c r="I12" i="2"/>
  <c r="I16" i="2"/>
  <c r="I22" i="2"/>
  <c r="I26" i="2"/>
  <c r="I30" i="2"/>
  <c r="I7" i="2"/>
  <c r="I13" i="2"/>
  <c r="I17" i="2"/>
  <c r="I18" i="2"/>
  <c r="I19" i="2"/>
  <c r="I23" i="2"/>
  <c r="I27" i="2"/>
  <c r="I31" i="2"/>
  <c r="I3" i="3"/>
  <c r="B1610" i="4" s="1"/>
  <c r="J1646" i="4" s="1"/>
  <c r="I3" i="8"/>
  <c r="I8" i="2"/>
  <c r="I14" i="2"/>
  <c r="I20" i="2"/>
  <c r="I24" i="2"/>
  <c r="I28" i="2"/>
  <c r="I32" i="2"/>
  <c r="I34" i="2"/>
  <c r="I35" i="2"/>
  <c r="I4" i="2"/>
  <c r="I5" i="2"/>
  <c r="I9" i="2"/>
  <c r="I10" i="2"/>
  <c r="I11" i="2"/>
  <c r="I15" i="2"/>
  <c r="I21" i="2"/>
  <c r="I25" i="2"/>
  <c r="I29" i="2"/>
  <c r="I33" i="2"/>
  <c r="F33" i="2"/>
  <c r="F4" i="2"/>
  <c r="F7" i="2"/>
  <c r="F10" i="2"/>
  <c r="F13" i="2"/>
  <c r="F17" i="2"/>
  <c r="F19" i="2"/>
  <c r="F23" i="2"/>
  <c r="F27" i="2"/>
  <c r="F31" i="2"/>
  <c r="F3" i="7"/>
  <c r="F8" i="2"/>
  <c r="F14" i="2"/>
  <c r="F20" i="2"/>
  <c r="F24" i="2"/>
  <c r="F28" i="2"/>
  <c r="F32" i="2"/>
  <c r="F35" i="2"/>
  <c r="F5" i="2"/>
  <c r="F9" i="2"/>
  <c r="F11" i="2"/>
  <c r="F15" i="2"/>
  <c r="F18" i="2"/>
  <c r="F21" i="2"/>
  <c r="F25" i="2"/>
  <c r="F29" i="2"/>
  <c r="F3" i="3"/>
  <c r="B873" i="4" s="1"/>
  <c r="F3" i="8"/>
  <c r="F6" i="2"/>
  <c r="F12" i="2"/>
  <c r="F16" i="2"/>
  <c r="F22" i="2"/>
  <c r="F26" i="2"/>
  <c r="F30" i="2"/>
  <c r="F34" i="2"/>
  <c r="F387" i="8"/>
  <c r="L335" i="2" l="1"/>
  <c r="M335" i="2" s="1"/>
  <c r="O335" i="2" s="1"/>
  <c r="S334" i="2"/>
  <c r="P334" i="2" s="1"/>
  <c r="E96" i="6"/>
  <c r="L351" i="2"/>
  <c r="M351" i="2" s="1"/>
  <c r="O351" i="2" s="1"/>
  <c r="L346" i="2"/>
  <c r="M346" i="2" s="1"/>
  <c r="O346" i="2" s="1"/>
  <c r="X330" i="2"/>
  <c r="T330" i="2" s="1"/>
  <c r="W330" i="2" s="1"/>
  <c r="X333" i="2"/>
  <c r="M81" i="2" s="1"/>
  <c r="L81" i="2" s="1"/>
  <c r="H111" i="1" s="1"/>
  <c r="L338" i="2"/>
  <c r="U332" i="2"/>
  <c r="K80" i="2" s="1"/>
  <c r="G110" i="1" s="1"/>
  <c r="X332" i="2"/>
  <c r="M80" i="2" s="1"/>
  <c r="G413" i="8"/>
  <c r="H413" i="8" s="1"/>
  <c r="I413" i="8" s="1"/>
  <c r="T331" i="2"/>
  <c r="W331" i="2" s="1"/>
  <c r="G396" i="8"/>
  <c r="H396" i="8" s="1"/>
  <c r="I396" i="8" s="1"/>
  <c r="J396" i="8" s="1"/>
  <c r="J121" i="1" s="1"/>
  <c r="K143" i="8"/>
  <c r="G385" i="8"/>
  <c r="H385" i="8" s="1"/>
  <c r="I385" i="8" s="1"/>
  <c r="I110" i="1" s="1"/>
  <c r="V333" i="2"/>
  <c r="L353" i="2"/>
  <c r="M353" i="2" s="1"/>
  <c r="O353" i="2" s="1"/>
  <c r="G384" i="8"/>
  <c r="H384" i="8" s="1"/>
  <c r="I384" i="8" s="1"/>
  <c r="G390" i="8"/>
  <c r="H390" i="8" s="1"/>
  <c r="I390" i="8" s="1"/>
  <c r="J390" i="8" s="1"/>
  <c r="J115" i="1" s="1"/>
  <c r="L358" i="2"/>
  <c r="M358" i="2" s="1"/>
  <c r="O358" i="2" s="1"/>
  <c r="G394" i="8"/>
  <c r="H394" i="8" s="1"/>
  <c r="I394" i="8" s="1"/>
  <c r="J394" i="8" s="1"/>
  <c r="J119" i="1" s="1"/>
  <c r="G391" i="8"/>
  <c r="H391" i="8" s="1"/>
  <c r="I391" i="8" s="1"/>
  <c r="J391" i="8" s="1"/>
  <c r="J116" i="1" s="1"/>
  <c r="I402" i="8"/>
  <c r="J402" i="8" s="1"/>
  <c r="J127" i="1" s="1"/>
  <c r="G389" i="8"/>
  <c r="H389" i="8" s="1"/>
  <c r="I389" i="8" s="1"/>
  <c r="L360" i="2"/>
  <c r="M360" i="2" s="1"/>
  <c r="O360" i="2" s="1"/>
  <c r="U330" i="2"/>
  <c r="K78" i="2" s="1"/>
  <c r="G108" i="1" s="1"/>
  <c r="G386" i="8"/>
  <c r="H386" i="8" s="1"/>
  <c r="I386" i="8" s="1"/>
  <c r="J386" i="8" s="1"/>
  <c r="J111" i="1" s="1"/>
  <c r="K152" i="8"/>
  <c r="G222" i="3"/>
  <c r="L359" i="2"/>
  <c r="M359" i="2" s="1"/>
  <c r="O359" i="2" s="1"/>
  <c r="C144" i="8"/>
  <c r="K144" i="8" s="1"/>
  <c r="D145" i="8"/>
  <c r="G157" i="7"/>
  <c r="E410" i="7" s="1"/>
  <c r="B1679" i="4"/>
  <c r="J109" i="3"/>
  <c r="N33" i="6"/>
  <c r="A362" i="2"/>
  <c r="F140" i="1"/>
  <c r="E417" i="7"/>
  <c r="E157" i="7"/>
  <c r="G219" i="3"/>
  <c r="K151" i="8"/>
  <c r="F157" i="7"/>
  <c r="G399" i="8"/>
  <c r="H399" i="8" s="1"/>
  <c r="I399" i="8" s="1"/>
  <c r="I124" i="1" s="1"/>
  <c r="K153" i="8"/>
  <c r="K154" i="8"/>
  <c r="Q334" i="2"/>
  <c r="R334" i="2" s="1"/>
  <c r="V334" i="2" s="1"/>
  <c r="X334" i="2"/>
  <c r="C119" i="6"/>
  <c r="N119" i="6" s="1"/>
  <c r="E26" i="6"/>
  <c r="C73" i="6"/>
  <c r="C107" i="6"/>
  <c r="N107" i="6" s="1"/>
  <c r="E14" i="6"/>
  <c r="C61" i="6"/>
  <c r="C115" i="6"/>
  <c r="N115" i="6" s="1"/>
  <c r="E22" i="6"/>
  <c r="C69" i="6"/>
  <c r="C33" i="6"/>
  <c r="C99" i="6"/>
  <c r="N99" i="6" s="1"/>
  <c r="E6" i="6"/>
  <c r="C53" i="6"/>
  <c r="N53" i="6" s="1"/>
  <c r="G387" i="8"/>
  <c r="H387" i="8" s="1"/>
  <c r="I387" i="8" s="1"/>
  <c r="J387" i="8" s="1"/>
  <c r="J112" i="1" s="1"/>
  <c r="G400" i="8"/>
  <c r="H400" i="8" s="1"/>
  <c r="I400" i="8" s="1"/>
  <c r="J400" i="8" s="1"/>
  <c r="J125" i="1" s="1"/>
  <c r="G383" i="8"/>
  <c r="H383" i="8" s="1"/>
  <c r="I383" i="8" s="1"/>
  <c r="I108" i="1" s="1"/>
  <c r="S265" i="2"/>
  <c r="S335" i="2"/>
  <c r="P335" i="2" s="1"/>
  <c r="C111" i="6"/>
  <c r="N111" i="6" s="1"/>
  <c r="E18" i="6"/>
  <c r="C65" i="6"/>
  <c r="C77" i="6"/>
  <c r="C123" i="6"/>
  <c r="N123" i="6" s="1"/>
  <c r="E30" i="6"/>
  <c r="E10" i="6"/>
  <c r="C103" i="6"/>
  <c r="N103" i="6" s="1"/>
  <c r="C57" i="6"/>
  <c r="T332" i="2"/>
  <c r="W332" i="2" s="1"/>
  <c r="U331" i="2"/>
  <c r="K79" i="2" s="1"/>
  <c r="V331" i="2"/>
  <c r="K338" i="2"/>
  <c r="N338" i="2"/>
  <c r="G393" i="8"/>
  <c r="H393" i="8" s="1"/>
  <c r="I393" i="8" s="1"/>
  <c r="I118" i="1" s="1"/>
  <c r="G401" i="8"/>
  <c r="H401" i="8" s="1"/>
  <c r="I401" i="8" s="1"/>
  <c r="I126" i="1" s="1"/>
  <c r="G388" i="8"/>
  <c r="H388" i="8" s="1"/>
  <c r="I388" i="8" s="1"/>
  <c r="I113" i="1" s="1"/>
  <c r="F30" i="3"/>
  <c r="B900" i="4" s="1"/>
  <c r="F30" i="7"/>
  <c r="F30" i="8"/>
  <c r="F22" i="3"/>
  <c r="B892" i="4" s="1"/>
  <c r="F22" i="7"/>
  <c r="F22" i="8"/>
  <c r="F12" i="3"/>
  <c r="B882" i="4" s="1"/>
  <c r="F12" i="7"/>
  <c r="F12" i="8"/>
  <c r="F29" i="3"/>
  <c r="B899" i="4" s="1"/>
  <c r="F29" i="7"/>
  <c r="F29" i="8"/>
  <c r="F21" i="3"/>
  <c r="B891" i="4" s="1"/>
  <c r="F21" i="7"/>
  <c r="F21" i="8"/>
  <c r="F15" i="7"/>
  <c r="F15" i="3"/>
  <c r="B885" i="4" s="1"/>
  <c r="F15" i="8"/>
  <c r="F9" i="3"/>
  <c r="B879" i="4" s="1"/>
  <c r="F9" i="7"/>
  <c r="F9" i="8"/>
  <c r="F35" i="7"/>
  <c r="F35" i="3"/>
  <c r="B905" i="4" s="1"/>
  <c r="F35" i="8"/>
  <c r="F28" i="7"/>
  <c r="F28" i="3"/>
  <c r="B898" i="4" s="1"/>
  <c r="F28" i="8"/>
  <c r="F20" i="7"/>
  <c r="F20" i="3"/>
  <c r="B890" i="4" s="1"/>
  <c r="F20" i="8"/>
  <c r="F8" i="7"/>
  <c r="F8" i="3"/>
  <c r="B878" i="4" s="1"/>
  <c r="F8" i="8"/>
  <c r="F31" i="3"/>
  <c r="B901" i="4" s="1"/>
  <c r="F31" i="7"/>
  <c r="F31" i="8"/>
  <c r="F23" i="3"/>
  <c r="B893" i="4" s="1"/>
  <c r="F23" i="7"/>
  <c r="F23" i="8"/>
  <c r="F17" i="7"/>
  <c r="F17" i="3"/>
  <c r="B887" i="4" s="1"/>
  <c r="F17" i="8"/>
  <c r="F10" i="3"/>
  <c r="B880" i="4" s="1"/>
  <c r="F10" i="7"/>
  <c r="F10" i="8"/>
  <c r="F4" i="7"/>
  <c r="F4" i="3"/>
  <c r="B874" i="4" s="1"/>
  <c r="F4" i="8"/>
  <c r="I33" i="7"/>
  <c r="I33" i="3"/>
  <c r="B1640" i="4" s="1"/>
  <c r="I33" i="8"/>
  <c r="I25" i="7"/>
  <c r="I25" i="3"/>
  <c r="B1632" i="4" s="1"/>
  <c r="I25" i="8"/>
  <c r="I15" i="7"/>
  <c r="I15" i="3"/>
  <c r="B1622" i="4" s="1"/>
  <c r="I15" i="8"/>
  <c r="I10" i="3"/>
  <c r="B1617" i="4" s="1"/>
  <c r="I10" i="7"/>
  <c r="I10" i="8"/>
  <c r="I5" i="7"/>
  <c r="I5" i="3"/>
  <c r="B1612" i="4" s="1"/>
  <c r="I5" i="8"/>
  <c r="I35" i="7"/>
  <c r="I35" i="3"/>
  <c r="B1642" i="4" s="1"/>
  <c r="I35" i="8"/>
  <c r="I32" i="7"/>
  <c r="I32" i="3"/>
  <c r="B1639" i="4" s="1"/>
  <c r="I32" i="8"/>
  <c r="I24" i="7"/>
  <c r="I24" i="3"/>
  <c r="B1631" i="4" s="1"/>
  <c r="I24" i="8"/>
  <c r="I14" i="7"/>
  <c r="I14" i="3"/>
  <c r="B1621" i="4" s="1"/>
  <c r="I14" i="8"/>
  <c r="I31" i="3"/>
  <c r="B1638" i="4" s="1"/>
  <c r="I31" i="7"/>
  <c r="I31" i="8"/>
  <c r="I23" i="3"/>
  <c r="B1630" i="4" s="1"/>
  <c r="I23" i="7"/>
  <c r="I23" i="8"/>
  <c r="I18" i="7"/>
  <c r="I18" i="3"/>
  <c r="B1625" i="4" s="1"/>
  <c r="I18" i="8"/>
  <c r="I13" i="3"/>
  <c r="B1620" i="4" s="1"/>
  <c r="I13" i="7"/>
  <c r="I13" i="8"/>
  <c r="I30" i="3"/>
  <c r="B1637" i="4" s="1"/>
  <c r="I30" i="7"/>
  <c r="I30" i="8"/>
  <c r="I22" i="3"/>
  <c r="B1629" i="4" s="1"/>
  <c r="I22" i="7"/>
  <c r="I22" i="8"/>
  <c r="I12" i="3"/>
  <c r="B1619" i="4" s="1"/>
  <c r="I12" i="7"/>
  <c r="I12" i="8"/>
  <c r="E29" i="3"/>
  <c r="B654" i="4" s="1"/>
  <c r="E29" i="7"/>
  <c r="E29" i="8"/>
  <c r="E21" i="3"/>
  <c r="B646" i="4" s="1"/>
  <c r="E21" i="7"/>
  <c r="E21" i="8"/>
  <c r="E11" i="3"/>
  <c r="B636" i="4" s="1"/>
  <c r="E11" i="7"/>
  <c r="E11" i="8"/>
  <c r="E9" i="3"/>
  <c r="B634" i="4" s="1"/>
  <c r="E9" i="7"/>
  <c r="E9" i="8"/>
  <c r="E4" i="7"/>
  <c r="E4" i="3"/>
  <c r="B629" i="4" s="1"/>
  <c r="E4" i="8"/>
  <c r="E34" i="3"/>
  <c r="B659" i="4" s="1"/>
  <c r="E34" i="8"/>
  <c r="E34" i="7"/>
  <c r="E28" i="3"/>
  <c r="B653" i="4" s="1"/>
  <c r="E28" i="7"/>
  <c r="E28" i="8"/>
  <c r="E20" i="3"/>
  <c r="B645" i="4" s="1"/>
  <c r="E20" i="7"/>
  <c r="E20" i="8"/>
  <c r="E8" i="3"/>
  <c r="B633" i="4" s="1"/>
  <c r="E8" i="7"/>
  <c r="E8" i="8"/>
  <c r="E27" i="7"/>
  <c r="E27" i="3"/>
  <c r="B652" i="4" s="1"/>
  <c r="E27" i="8"/>
  <c r="E19" i="7"/>
  <c r="E19" i="3"/>
  <c r="B644" i="4" s="1"/>
  <c r="E19" i="8"/>
  <c r="E17" i="7"/>
  <c r="E17" i="3"/>
  <c r="B642" i="4" s="1"/>
  <c r="E17" i="8"/>
  <c r="E7" i="7"/>
  <c r="E7" i="3"/>
  <c r="B632" i="4" s="1"/>
  <c r="E7" i="8"/>
  <c r="E26" i="7"/>
  <c r="E26" i="3"/>
  <c r="B651" i="4" s="1"/>
  <c r="E26" i="8"/>
  <c r="E16" i="7"/>
  <c r="E16" i="3"/>
  <c r="B641" i="4" s="1"/>
  <c r="E16" i="8"/>
  <c r="E6" i="7"/>
  <c r="E6" i="3"/>
  <c r="B631" i="4" s="1"/>
  <c r="E6" i="8"/>
  <c r="H35" i="3"/>
  <c r="B1396" i="4" s="1"/>
  <c r="H35" i="8"/>
  <c r="H35" i="7"/>
  <c r="H28" i="3"/>
  <c r="B1389" i="4" s="1"/>
  <c r="H28" i="7"/>
  <c r="H28" i="8"/>
  <c r="H20" i="3"/>
  <c r="B1381" i="4" s="1"/>
  <c r="H20" i="7"/>
  <c r="H20" i="8"/>
  <c r="H8" i="3"/>
  <c r="B1369" i="4" s="1"/>
  <c r="H8" i="7"/>
  <c r="H8" i="8"/>
  <c r="H31" i="7"/>
  <c r="H31" i="3"/>
  <c r="B1392" i="4" s="1"/>
  <c r="H31" i="8"/>
  <c r="H23" i="7"/>
  <c r="H23" i="3"/>
  <c r="B1384" i="4" s="1"/>
  <c r="H23" i="8"/>
  <c r="H17" i="3"/>
  <c r="B1378" i="4" s="1"/>
  <c r="H17" i="7"/>
  <c r="H17" i="8"/>
  <c r="H10" i="3"/>
  <c r="B1371" i="4" s="1"/>
  <c r="H10" i="7"/>
  <c r="H10" i="8"/>
  <c r="H4" i="7"/>
  <c r="H4" i="3"/>
  <c r="B1365" i="4" s="1"/>
  <c r="H4" i="8"/>
  <c r="H30" i="3"/>
  <c r="B1391" i="4" s="1"/>
  <c r="H30" i="7"/>
  <c r="H30" i="8"/>
  <c r="H22" i="3"/>
  <c r="B1383" i="4" s="1"/>
  <c r="H22" i="7"/>
  <c r="H22" i="8"/>
  <c r="H12" i="3"/>
  <c r="B1373" i="4" s="1"/>
  <c r="H12" i="7"/>
  <c r="H12" i="8"/>
  <c r="H29" i="3"/>
  <c r="B1390" i="4" s="1"/>
  <c r="H29" i="7"/>
  <c r="H29" i="8"/>
  <c r="H21" i="3"/>
  <c r="B1382" i="4" s="1"/>
  <c r="H21" i="7"/>
  <c r="H21" i="8"/>
  <c r="H15" i="7"/>
  <c r="H15" i="3"/>
  <c r="B1376" i="4" s="1"/>
  <c r="H15" i="8"/>
  <c r="H9" i="3"/>
  <c r="B1370" i="4" s="1"/>
  <c r="H9" i="7"/>
  <c r="H9" i="8"/>
  <c r="H33" i="3"/>
  <c r="B1394" i="4" s="1"/>
  <c r="H33" i="7"/>
  <c r="H33" i="8"/>
  <c r="D32" i="7"/>
  <c r="D32" i="3"/>
  <c r="D32" i="8"/>
  <c r="D24" i="7"/>
  <c r="D24" i="3"/>
  <c r="D24" i="8"/>
  <c r="D14" i="7"/>
  <c r="D14" i="3"/>
  <c r="D14" i="8"/>
  <c r="D27" i="3"/>
  <c r="D27" i="7"/>
  <c r="D27" i="8"/>
  <c r="D19" i="3"/>
  <c r="D19" i="7"/>
  <c r="D19" i="8"/>
  <c r="D13" i="7"/>
  <c r="D13" i="3"/>
  <c r="D13" i="8"/>
  <c r="D7" i="3"/>
  <c r="D7" i="7"/>
  <c r="D7" i="8"/>
  <c r="D34" i="7"/>
  <c r="D34" i="3"/>
  <c r="D34" i="8"/>
  <c r="D26" i="7"/>
  <c r="D26" i="3"/>
  <c r="D26" i="8"/>
  <c r="D16" i="7"/>
  <c r="D16" i="3"/>
  <c r="D16" i="8"/>
  <c r="D6" i="7"/>
  <c r="D6" i="3"/>
  <c r="D6" i="8"/>
  <c r="C246" i="5"/>
  <c r="B384" i="4"/>
  <c r="D25" i="7"/>
  <c r="D25" i="3"/>
  <c r="D25" i="8"/>
  <c r="D18" i="7"/>
  <c r="D18" i="3"/>
  <c r="D18" i="8"/>
  <c r="D11" i="3"/>
  <c r="D11" i="7"/>
  <c r="D11" i="8"/>
  <c r="D5" i="7"/>
  <c r="D5" i="3"/>
  <c r="D5" i="8"/>
  <c r="G31" i="7"/>
  <c r="G31" i="3"/>
  <c r="B1146" i="4" s="1"/>
  <c r="G31" i="8"/>
  <c r="G23" i="7"/>
  <c r="G23" i="3"/>
  <c r="B1138" i="4" s="1"/>
  <c r="G23" i="8"/>
  <c r="G18" i="7"/>
  <c r="G18" i="3"/>
  <c r="B1133" i="4" s="1"/>
  <c r="G18" i="8"/>
  <c r="G13" i="7"/>
  <c r="G13" i="3"/>
  <c r="B1128" i="4" s="1"/>
  <c r="G13" i="8"/>
  <c r="G30" i="7"/>
  <c r="G30" i="3"/>
  <c r="B1145" i="4" s="1"/>
  <c r="G30" i="8"/>
  <c r="G22" i="7"/>
  <c r="G22" i="3"/>
  <c r="B1137" i="4" s="1"/>
  <c r="G22" i="8"/>
  <c r="G12" i="7"/>
  <c r="G12" i="3"/>
  <c r="B1127" i="4" s="1"/>
  <c r="G12" i="8"/>
  <c r="G29" i="3"/>
  <c r="B1144" i="4" s="1"/>
  <c r="G29" i="7"/>
  <c r="G29" i="8"/>
  <c r="G21" i="3"/>
  <c r="B1136" i="4" s="1"/>
  <c r="G21" i="7"/>
  <c r="G21" i="8"/>
  <c r="G11" i="3"/>
  <c r="B1126" i="4" s="1"/>
  <c r="G11" i="7"/>
  <c r="G11" i="8"/>
  <c r="G9" i="3"/>
  <c r="B1124" i="4" s="1"/>
  <c r="G9" i="7"/>
  <c r="G9" i="8"/>
  <c r="G4" i="3"/>
  <c r="B1119" i="4" s="1"/>
  <c r="G4" i="7"/>
  <c r="G4" i="8"/>
  <c r="G34" i="3"/>
  <c r="B1149" i="4" s="1"/>
  <c r="G34" i="8"/>
  <c r="G34" i="7"/>
  <c r="G28" i="3"/>
  <c r="B1143" i="4" s="1"/>
  <c r="G28" i="7"/>
  <c r="G28" i="8"/>
  <c r="G20" i="3"/>
  <c r="B1135" i="4" s="1"/>
  <c r="G20" i="7"/>
  <c r="G20" i="8"/>
  <c r="G8" i="3"/>
  <c r="B1123" i="4" s="1"/>
  <c r="G8" i="7"/>
  <c r="G8" i="8"/>
  <c r="C27" i="3"/>
  <c r="J27" i="2"/>
  <c r="C27" i="7"/>
  <c r="C27" i="8"/>
  <c r="C19" i="3"/>
  <c r="J19" i="2"/>
  <c r="C19" i="7"/>
  <c r="C19" i="8"/>
  <c r="C17" i="3"/>
  <c r="J17" i="2"/>
  <c r="C17" i="7"/>
  <c r="C17" i="8"/>
  <c r="C7" i="3"/>
  <c r="J7" i="2"/>
  <c r="C7" i="7"/>
  <c r="C7" i="8"/>
  <c r="C30" i="7"/>
  <c r="C30" i="3"/>
  <c r="J30" i="2"/>
  <c r="C30" i="8"/>
  <c r="C22" i="7"/>
  <c r="C22" i="3"/>
  <c r="J22" i="2"/>
  <c r="C22" i="8"/>
  <c r="C12" i="7"/>
  <c r="C12" i="3"/>
  <c r="J12" i="2"/>
  <c r="C12" i="8"/>
  <c r="C29" i="3"/>
  <c r="J29" i="2"/>
  <c r="C29" i="7"/>
  <c r="C29" i="8"/>
  <c r="C21" i="3"/>
  <c r="J21" i="2"/>
  <c r="C21" i="7"/>
  <c r="C21" i="8"/>
  <c r="C11" i="3"/>
  <c r="J11" i="2"/>
  <c r="C11" i="7"/>
  <c r="C11" i="8"/>
  <c r="C9" i="3"/>
  <c r="J9" i="2"/>
  <c r="C9" i="7"/>
  <c r="C9" i="8"/>
  <c r="C4" i="3"/>
  <c r="J4" i="2"/>
  <c r="C4" i="7"/>
  <c r="C4" i="8"/>
  <c r="C34" i="7"/>
  <c r="J34" i="2"/>
  <c r="C34" i="3"/>
  <c r="C34" i="8"/>
  <c r="C28" i="3"/>
  <c r="J28" i="2"/>
  <c r="C28" i="7"/>
  <c r="C28" i="8"/>
  <c r="C20" i="3"/>
  <c r="J20" i="2"/>
  <c r="C20" i="7"/>
  <c r="C20" i="8"/>
  <c r="C8" i="3"/>
  <c r="J8" i="2"/>
  <c r="C8" i="7"/>
  <c r="C8" i="8"/>
  <c r="J3" i="3"/>
  <c r="C92" i="5"/>
  <c r="B134" i="4"/>
  <c r="J3" i="7"/>
  <c r="B326" i="7" s="1"/>
  <c r="D415" i="8"/>
  <c r="G415" i="8" s="1"/>
  <c r="H415" i="8" s="1"/>
  <c r="I415" i="8" s="1"/>
  <c r="F34" i="3"/>
  <c r="B904" i="4" s="1"/>
  <c r="F34" i="8"/>
  <c r="F34" i="7"/>
  <c r="F26" i="7"/>
  <c r="F26" i="3"/>
  <c r="B896" i="4" s="1"/>
  <c r="F26" i="8"/>
  <c r="F16" i="7"/>
  <c r="F16" i="3"/>
  <c r="B886" i="4" s="1"/>
  <c r="F16" i="8"/>
  <c r="F6" i="7"/>
  <c r="F6" i="3"/>
  <c r="B876" i="4" s="1"/>
  <c r="F6" i="8"/>
  <c r="F25" i="7"/>
  <c r="F25" i="3"/>
  <c r="B895" i="4" s="1"/>
  <c r="F25" i="8"/>
  <c r="F18" i="3"/>
  <c r="B888" i="4" s="1"/>
  <c r="F18" i="7"/>
  <c r="F18" i="8"/>
  <c r="F11" i="3"/>
  <c r="B881" i="4" s="1"/>
  <c r="F11" i="7"/>
  <c r="F11" i="8"/>
  <c r="F5" i="7"/>
  <c r="F5" i="3"/>
  <c r="B875" i="4" s="1"/>
  <c r="F5" i="8"/>
  <c r="F32" i="3"/>
  <c r="B902" i="4" s="1"/>
  <c r="F32" i="7"/>
  <c r="F32" i="8"/>
  <c r="F24" i="3"/>
  <c r="B894" i="4" s="1"/>
  <c r="F24" i="7"/>
  <c r="F24" i="8"/>
  <c r="F14" i="3"/>
  <c r="B884" i="4" s="1"/>
  <c r="F14" i="7"/>
  <c r="F14" i="8"/>
  <c r="F27" i="7"/>
  <c r="F27" i="3"/>
  <c r="B897" i="4" s="1"/>
  <c r="F27" i="8"/>
  <c r="F19" i="7"/>
  <c r="F19" i="3"/>
  <c r="B889" i="4" s="1"/>
  <c r="F19" i="8"/>
  <c r="F13" i="3"/>
  <c r="B883" i="4" s="1"/>
  <c r="F13" i="7"/>
  <c r="F13" i="8"/>
  <c r="F7" i="7"/>
  <c r="F7" i="3"/>
  <c r="B877" i="4" s="1"/>
  <c r="F7" i="8"/>
  <c r="F33" i="3"/>
  <c r="B903" i="4" s="1"/>
  <c r="F33" i="7"/>
  <c r="F33" i="8"/>
  <c r="I29" i="3"/>
  <c r="B1636" i="4" s="1"/>
  <c r="I29" i="7"/>
  <c r="I29" i="8"/>
  <c r="I21" i="3"/>
  <c r="B1628" i="4" s="1"/>
  <c r="I21" i="7"/>
  <c r="I21" i="8"/>
  <c r="I11" i="3"/>
  <c r="B1618" i="4" s="1"/>
  <c r="I11" i="7"/>
  <c r="I11" i="8"/>
  <c r="I9" i="3"/>
  <c r="B1616" i="4" s="1"/>
  <c r="I9" i="7"/>
  <c r="I9" i="8"/>
  <c r="I4" i="7"/>
  <c r="I4" i="3"/>
  <c r="B1611" i="4" s="1"/>
  <c r="I4" i="8"/>
  <c r="I34" i="7"/>
  <c r="I34" i="3"/>
  <c r="B1641" i="4" s="1"/>
  <c r="I34" i="8"/>
  <c r="I28" i="3"/>
  <c r="B1635" i="4" s="1"/>
  <c r="I28" i="7"/>
  <c r="I28" i="8"/>
  <c r="I20" i="3"/>
  <c r="B1627" i="4" s="1"/>
  <c r="I20" i="7"/>
  <c r="I20" i="8"/>
  <c r="I8" i="3"/>
  <c r="B1615" i="4" s="1"/>
  <c r="I8" i="7"/>
  <c r="I8" i="8"/>
  <c r="I27" i="7"/>
  <c r="I27" i="3"/>
  <c r="B1634" i="4" s="1"/>
  <c r="I27" i="8"/>
  <c r="I19" i="7"/>
  <c r="I19" i="3"/>
  <c r="B1626" i="4" s="1"/>
  <c r="I19" i="8"/>
  <c r="I17" i="7"/>
  <c r="I17" i="3"/>
  <c r="B1624" i="4" s="1"/>
  <c r="I17" i="8"/>
  <c r="I7" i="7"/>
  <c r="I7" i="3"/>
  <c r="B1614" i="4" s="1"/>
  <c r="I7" i="8"/>
  <c r="I26" i="7"/>
  <c r="I26" i="3"/>
  <c r="B1633" i="4" s="1"/>
  <c r="I26" i="8"/>
  <c r="I16" i="7"/>
  <c r="I16" i="3"/>
  <c r="B1623" i="4" s="1"/>
  <c r="I16" i="8"/>
  <c r="I6" i="7"/>
  <c r="I6" i="3"/>
  <c r="B1613" i="4" s="1"/>
  <c r="I6" i="8"/>
  <c r="E33" i="7"/>
  <c r="E33" i="3"/>
  <c r="B658" i="4" s="1"/>
  <c r="E33" i="8"/>
  <c r="E25" i="7"/>
  <c r="E25" i="3"/>
  <c r="B650" i="4" s="1"/>
  <c r="E25" i="8"/>
  <c r="E15" i="7"/>
  <c r="E15" i="3"/>
  <c r="B640" i="4" s="1"/>
  <c r="E15" i="8"/>
  <c r="E10" i="3"/>
  <c r="B635" i="4" s="1"/>
  <c r="E10" i="7"/>
  <c r="E10" i="8"/>
  <c r="E5" i="7"/>
  <c r="E5" i="3"/>
  <c r="B630" i="4" s="1"/>
  <c r="E5" i="8"/>
  <c r="E35" i="3"/>
  <c r="B660" i="4" s="1"/>
  <c r="E35" i="8"/>
  <c r="E35" i="7"/>
  <c r="E32" i="7"/>
  <c r="E32" i="3"/>
  <c r="B657" i="4" s="1"/>
  <c r="E32" i="8"/>
  <c r="E24" i="7"/>
  <c r="E24" i="3"/>
  <c r="B649" i="4" s="1"/>
  <c r="E24" i="8"/>
  <c r="E14" i="7"/>
  <c r="E14" i="3"/>
  <c r="B639" i="4" s="1"/>
  <c r="E14" i="8"/>
  <c r="E31" i="3"/>
  <c r="B656" i="4" s="1"/>
  <c r="E31" i="7"/>
  <c r="E31" i="8"/>
  <c r="E23" i="3"/>
  <c r="B648" i="4" s="1"/>
  <c r="E23" i="7"/>
  <c r="E23" i="8"/>
  <c r="E18" i="7"/>
  <c r="E18" i="3"/>
  <c r="B643" i="4" s="1"/>
  <c r="E18" i="8"/>
  <c r="E13" i="3"/>
  <c r="B638" i="4" s="1"/>
  <c r="E13" i="7"/>
  <c r="E13" i="8"/>
  <c r="E30" i="3"/>
  <c r="B655" i="4" s="1"/>
  <c r="E30" i="7"/>
  <c r="E30" i="8"/>
  <c r="E22" i="3"/>
  <c r="B647" i="4" s="1"/>
  <c r="E22" i="7"/>
  <c r="E22" i="8"/>
  <c r="E12" i="3"/>
  <c r="B637" i="4" s="1"/>
  <c r="E12" i="7"/>
  <c r="E12" i="8"/>
  <c r="H32" i="7"/>
  <c r="H32" i="3"/>
  <c r="B1393" i="4" s="1"/>
  <c r="H32" i="8"/>
  <c r="H24" i="7"/>
  <c r="H24" i="3"/>
  <c r="B1385" i="4" s="1"/>
  <c r="H24" i="8"/>
  <c r="H14" i="7"/>
  <c r="H14" i="3"/>
  <c r="B1375" i="4" s="1"/>
  <c r="H14" i="8"/>
  <c r="H27" i="3"/>
  <c r="B1388" i="4" s="1"/>
  <c r="H27" i="7"/>
  <c r="H27" i="8"/>
  <c r="H19" i="3"/>
  <c r="B1380" i="4" s="1"/>
  <c r="H19" i="7"/>
  <c r="H19" i="8"/>
  <c r="H13" i="7"/>
  <c r="H13" i="3"/>
  <c r="B1374" i="4" s="1"/>
  <c r="H13" i="8"/>
  <c r="H7" i="3"/>
  <c r="B1368" i="4" s="1"/>
  <c r="H7" i="7"/>
  <c r="H7" i="8"/>
  <c r="H34" i="3"/>
  <c r="B1395" i="4" s="1"/>
  <c r="H34" i="8"/>
  <c r="H34" i="7"/>
  <c r="H26" i="7"/>
  <c r="H26" i="3"/>
  <c r="B1387" i="4" s="1"/>
  <c r="H26" i="8"/>
  <c r="H16" i="7"/>
  <c r="H16" i="3"/>
  <c r="B1377" i="4" s="1"/>
  <c r="H16" i="8"/>
  <c r="H6" i="7"/>
  <c r="H6" i="3"/>
  <c r="B1367" i="4" s="1"/>
  <c r="H6" i="8"/>
  <c r="H25" i="7"/>
  <c r="H25" i="3"/>
  <c r="B1386" i="4" s="1"/>
  <c r="H25" i="8"/>
  <c r="H18" i="7"/>
  <c r="H18" i="3"/>
  <c r="B1379" i="4" s="1"/>
  <c r="H18" i="8"/>
  <c r="H11" i="3"/>
  <c r="B1372" i="4" s="1"/>
  <c r="H11" i="7"/>
  <c r="H11" i="8"/>
  <c r="H5" i="7"/>
  <c r="H5" i="3"/>
  <c r="B1366" i="4" s="1"/>
  <c r="H5" i="8"/>
  <c r="D35" i="7"/>
  <c r="D35" i="3"/>
  <c r="D35" i="8"/>
  <c r="D28" i="3"/>
  <c r="D28" i="7"/>
  <c r="D28" i="8"/>
  <c r="D20" i="3"/>
  <c r="D20" i="7"/>
  <c r="D20" i="8"/>
  <c r="D8" i="3"/>
  <c r="D8" i="7"/>
  <c r="D8" i="8"/>
  <c r="D31" i="7"/>
  <c r="D31" i="3"/>
  <c r="D31" i="8"/>
  <c r="D23" i="7"/>
  <c r="D23" i="3"/>
  <c r="D23" i="8"/>
  <c r="D17" i="3"/>
  <c r="D17" i="7"/>
  <c r="D17" i="8"/>
  <c r="D10" i="3"/>
  <c r="D10" i="7"/>
  <c r="D10" i="8"/>
  <c r="D4" i="7"/>
  <c r="D4" i="3"/>
  <c r="D4" i="8"/>
  <c r="D30" i="3"/>
  <c r="D30" i="7"/>
  <c r="D30" i="8"/>
  <c r="D22" i="3"/>
  <c r="D22" i="7"/>
  <c r="D22" i="8"/>
  <c r="D12" i="3"/>
  <c r="D12" i="7"/>
  <c r="D12" i="8"/>
  <c r="D29" i="3"/>
  <c r="D29" i="7"/>
  <c r="D29" i="8"/>
  <c r="D21" i="3"/>
  <c r="D21" i="7"/>
  <c r="D21" i="8"/>
  <c r="D15" i="7"/>
  <c r="D15" i="3"/>
  <c r="D15" i="8"/>
  <c r="D9" i="3"/>
  <c r="D9" i="7"/>
  <c r="D9" i="8"/>
  <c r="D33" i="7"/>
  <c r="D33" i="3"/>
  <c r="D33" i="8"/>
  <c r="G27" i="3"/>
  <c r="B1142" i="4" s="1"/>
  <c r="G27" i="7"/>
  <c r="G27" i="8"/>
  <c r="G19" i="3"/>
  <c r="B1134" i="4" s="1"/>
  <c r="G19" i="7"/>
  <c r="G19" i="8"/>
  <c r="G17" i="3"/>
  <c r="B1132" i="4" s="1"/>
  <c r="G17" i="7"/>
  <c r="G17" i="8"/>
  <c r="G7" i="3"/>
  <c r="B1122" i="4" s="1"/>
  <c r="G7" i="7"/>
  <c r="G7" i="8"/>
  <c r="G26" i="3"/>
  <c r="B1141" i="4" s="1"/>
  <c r="G26" i="7"/>
  <c r="G26" i="8"/>
  <c r="G16" i="3"/>
  <c r="B1131" i="4" s="1"/>
  <c r="G16" i="7"/>
  <c r="G16" i="8"/>
  <c r="G6" i="3"/>
  <c r="B1121" i="4" s="1"/>
  <c r="G6" i="7"/>
  <c r="G6" i="8"/>
  <c r="G33" i="3"/>
  <c r="B1148" i="4" s="1"/>
  <c r="G33" i="7"/>
  <c r="G33" i="8"/>
  <c r="G25" i="7"/>
  <c r="G25" i="3"/>
  <c r="B1140" i="4" s="1"/>
  <c r="G25" i="8"/>
  <c r="G15" i="7"/>
  <c r="G15" i="3"/>
  <c r="B1130" i="4" s="1"/>
  <c r="G15" i="8"/>
  <c r="G10" i="7"/>
  <c r="G10" i="3"/>
  <c r="B1125" i="4" s="1"/>
  <c r="G10" i="8"/>
  <c r="G5" i="7"/>
  <c r="G5" i="3"/>
  <c r="B1120" i="4" s="1"/>
  <c r="G5" i="8"/>
  <c r="G35" i="7"/>
  <c r="G35" i="3"/>
  <c r="B1150" i="4" s="1"/>
  <c r="G35" i="8"/>
  <c r="G32" i="7"/>
  <c r="G32" i="3"/>
  <c r="B1147" i="4" s="1"/>
  <c r="G32" i="8"/>
  <c r="G24" i="7"/>
  <c r="G24" i="3"/>
  <c r="B1139" i="4" s="1"/>
  <c r="G24" i="8"/>
  <c r="G14" i="7"/>
  <c r="G14" i="3"/>
  <c r="B1129" i="4" s="1"/>
  <c r="G14" i="8"/>
  <c r="C31" i="7"/>
  <c r="C31" i="3"/>
  <c r="J31" i="2"/>
  <c r="C31" i="8"/>
  <c r="C23" i="7"/>
  <c r="C23" i="3"/>
  <c r="J23" i="2"/>
  <c r="C23" i="8"/>
  <c r="C18" i="7"/>
  <c r="C18" i="3"/>
  <c r="J18" i="2"/>
  <c r="C18" i="8"/>
  <c r="C13" i="7"/>
  <c r="C13" i="3"/>
  <c r="J13" i="2"/>
  <c r="C13" i="8"/>
  <c r="F38" i="1"/>
  <c r="C25" i="1" s="1"/>
  <c r="A259" i="2"/>
  <c r="C26" i="3"/>
  <c r="J26" i="2"/>
  <c r="C26" i="7"/>
  <c r="C26" i="8"/>
  <c r="C16" i="3"/>
  <c r="J16" i="2"/>
  <c r="C16" i="7"/>
  <c r="C16" i="8"/>
  <c r="C6" i="3"/>
  <c r="J6" i="2"/>
  <c r="C6" i="7"/>
  <c r="C6" i="8"/>
  <c r="C33" i="3"/>
  <c r="C33" i="8"/>
  <c r="C33" i="7"/>
  <c r="J33" i="2"/>
  <c r="C25" i="7"/>
  <c r="C25" i="3"/>
  <c r="J25" i="2"/>
  <c r="C25" i="8"/>
  <c r="C15" i="7"/>
  <c r="C15" i="3"/>
  <c r="J15" i="2"/>
  <c r="C15" i="8"/>
  <c r="C10" i="7"/>
  <c r="C10" i="3"/>
  <c r="J10" i="2"/>
  <c r="C10" i="8"/>
  <c r="C5" i="7"/>
  <c r="C5" i="3"/>
  <c r="J5" i="2"/>
  <c r="C5" i="8"/>
  <c r="C35" i="3"/>
  <c r="C35" i="8"/>
  <c r="C35" i="7"/>
  <c r="J35" i="2"/>
  <c r="C32" i="7"/>
  <c r="C32" i="3"/>
  <c r="J32" i="2"/>
  <c r="C32" i="8"/>
  <c r="C24" i="7"/>
  <c r="C24" i="3"/>
  <c r="J24" i="2"/>
  <c r="C24" i="8"/>
  <c r="C14" i="7"/>
  <c r="C14" i="3"/>
  <c r="J14" i="2"/>
  <c r="C14" i="8"/>
  <c r="J3" i="8"/>
  <c r="A313" i="8" s="1"/>
  <c r="G392" i="8"/>
  <c r="H392" i="8" s="1"/>
  <c r="I392" i="8" s="1"/>
  <c r="G398" i="8"/>
  <c r="H398" i="8" s="1"/>
  <c r="I398" i="8" s="1"/>
  <c r="G395" i="8"/>
  <c r="H395" i="8" s="1"/>
  <c r="I395" i="8" s="1"/>
  <c r="G397" i="8"/>
  <c r="H397" i="8" s="1"/>
  <c r="I397" i="8" s="1"/>
  <c r="G406" i="8"/>
  <c r="H406" i="8" s="1"/>
  <c r="I406" i="8" s="1"/>
  <c r="G409" i="8"/>
  <c r="H409" i="8" s="1"/>
  <c r="I409" i="8" s="1"/>
  <c r="G411" i="8"/>
  <c r="H411" i="8" s="1"/>
  <c r="I411" i="8" s="1"/>
  <c r="G414" i="8"/>
  <c r="H414" i="8" s="1"/>
  <c r="I414" i="8" s="1"/>
  <c r="D403" i="8"/>
  <c r="G403" i="8" s="1"/>
  <c r="H403" i="8" s="1"/>
  <c r="I403" i="8" s="1"/>
  <c r="D404" i="8"/>
  <c r="G404" i="8" s="1"/>
  <c r="H404" i="8" s="1"/>
  <c r="I404" i="8" s="1"/>
  <c r="D405" i="8"/>
  <c r="G405" i="8" s="1"/>
  <c r="H405" i="8" s="1"/>
  <c r="I405" i="8" s="1"/>
  <c r="D407" i="8"/>
  <c r="G407" i="8" s="1"/>
  <c r="H407" i="8" s="1"/>
  <c r="I407" i="8" s="1"/>
  <c r="D408" i="8"/>
  <c r="G408" i="8" s="1"/>
  <c r="H408" i="8" s="1"/>
  <c r="I408" i="8" s="1"/>
  <c r="D410" i="8"/>
  <c r="G410" i="8" s="1"/>
  <c r="H410" i="8" s="1"/>
  <c r="I410" i="8" s="1"/>
  <c r="D412" i="8"/>
  <c r="G412" i="8" s="1"/>
  <c r="H412" i="8" s="1"/>
  <c r="I412" i="8" s="1"/>
  <c r="M338" i="2" l="1"/>
  <c r="O338" i="2" s="1"/>
  <c r="M78" i="2"/>
  <c r="T333" i="2"/>
  <c r="W333" i="2" s="1"/>
  <c r="J384" i="8"/>
  <c r="J109" i="1" s="1"/>
  <c r="B97" i="4" s="1"/>
  <c r="I109" i="1"/>
  <c r="J413" i="8"/>
  <c r="J138" i="1" s="1"/>
  <c r="B126" i="4" s="1"/>
  <c r="I138" i="1"/>
  <c r="L80" i="2"/>
  <c r="H110" i="1" s="1"/>
  <c r="I125" i="1"/>
  <c r="I115" i="1"/>
  <c r="J385" i="8"/>
  <c r="J110" i="1" s="1"/>
  <c r="B98" i="4" s="1"/>
  <c r="I121" i="1"/>
  <c r="J399" i="8"/>
  <c r="J124" i="1" s="1"/>
  <c r="B112" i="4" s="1"/>
  <c r="L78" i="2"/>
  <c r="H108" i="1" s="1"/>
  <c r="I111" i="1"/>
  <c r="I114" i="1"/>
  <c r="J389" i="8"/>
  <c r="J114" i="1" s="1"/>
  <c r="B102" i="4" s="1"/>
  <c r="I127" i="1"/>
  <c r="J388" i="8"/>
  <c r="J113" i="1" s="1"/>
  <c r="B101" i="4" s="1"/>
  <c r="I112" i="1"/>
  <c r="I116" i="1"/>
  <c r="U334" i="2"/>
  <c r="K82" i="2" s="1"/>
  <c r="G112" i="1" s="1"/>
  <c r="J401" i="8"/>
  <c r="J126" i="1" s="1"/>
  <c r="B114" i="4" s="1"/>
  <c r="J393" i="8"/>
  <c r="J118" i="1" s="1"/>
  <c r="B65" i="5" s="1"/>
  <c r="J16" i="7"/>
  <c r="B339" i="7" s="1"/>
  <c r="C339" i="7" s="1"/>
  <c r="D339" i="7" s="1"/>
  <c r="E339" i="7" s="1"/>
  <c r="J33" i="7"/>
  <c r="B356" i="7" s="1"/>
  <c r="C356" i="7" s="1"/>
  <c r="D356" i="7" s="1"/>
  <c r="E356" i="7" s="1"/>
  <c r="X335" i="2"/>
  <c r="M83" i="2" s="1"/>
  <c r="Q335" i="2"/>
  <c r="R335" i="2" s="1"/>
  <c r="F410" i="7"/>
  <c r="K91" i="7" s="1"/>
  <c r="J410" i="7"/>
  <c r="K410" i="7" s="1"/>
  <c r="G410" i="7"/>
  <c r="H410" i="7" s="1"/>
  <c r="I410" i="7" s="1"/>
  <c r="J31" i="7"/>
  <c r="B354" i="7" s="1"/>
  <c r="C354" i="7" s="1"/>
  <c r="D354" i="7" s="1"/>
  <c r="E354" i="7" s="1"/>
  <c r="E414" i="7"/>
  <c r="J5" i="7"/>
  <c r="B328" i="7" s="1"/>
  <c r="C328" i="7" s="1"/>
  <c r="D328" i="7" s="1"/>
  <c r="E328" i="7" s="1"/>
  <c r="J24" i="7"/>
  <c r="B347" i="7" s="1"/>
  <c r="C347" i="7" s="1"/>
  <c r="D347" i="7" s="1"/>
  <c r="E347" i="7" s="1"/>
  <c r="J10" i="7"/>
  <c r="B333" i="7" s="1"/>
  <c r="C333" i="7" s="1"/>
  <c r="D333" i="7" s="1"/>
  <c r="E333" i="7" s="1"/>
  <c r="J25" i="7"/>
  <c r="B348" i="7" s="1"/>
  <c r="C348" i="7" s="1"/>
  <c r="D348" i="7" s="1"/>
  <c r="E348" i="7" s="1"/>
  <c r="E422" i="7"/>
  <c r="E396" i="7"/>
  <c r="E408" i="7"/>
  <c r="E413" i="7"/>
  <c r="E419" i="7"/>
  <c r="E411" i="7"/>
  <c r="E418" i="7"/>
  <c r="E407" i="7"/>
  <c r="E412" i="7"/>
  <c r="E424" i="7"/>
  <c r="E404" i="7"/>
  <c r="E416" i="7"/>
  <c r="E399" i="7"/>
  <c r="E402" i="7"/>
  <c r="E421" i="7"/>
  <c r="E398" i="7"/>
  <c r="E423" i="7"/>
  <c r="E403" i="7"/>
  <c r="E400" i="7"/>
  <c r="E427" i="7"/>
  <c r="E397" i="7"/>
  <c r="E420" i="7"/>
  <c r="E425" i="7"/>
  <c r="E415" i="7"/>
  <c r="J15" i="7"/>
  <c r="B338" i="7" s="1"/>
  <c r="C338" i="7" s="1"/>
  <c r="D338" i="7" s="1"/>
  <c r="E338" i="7" s="1"/>
  <c r="E428" i="7"/>
  <c r="J383" i="8"/>
  <c r="J108" i="1" s="1"/>
  <c r="B96" i="4" s="1"/>
  <c r="E406" i="7"/>
  <c r="E409" i="7"/>
  <c r="G417" i="7"/>
  <c r="H417" i="7" s="1"/>
  <c r="I417" i="7" s="1"/>
  <c r="J417" i="7"/>
  <c r="K417" i="7" s="1"/>
  <c r="F417" i="7"/>
  <c r="K98" i="7" s="1"/>
  <c r="J18" i="7"/>
  <c r="B341" i="7" s="1"/>
  <c r="C341" i="7" s="1"/>
  <c r="D341" i="7" s="1"/>
  <c r="E341" i="7" s="1"/>
  <c r="C145" i="8"/>
  <c r="D146" i="8"/>
  <c r="J32" i="7"/>
  <c r="B355" i="7" s="1"/>
  <c r="C355" i="7" s="1"/>
  <c r="D355" i="7" s="1"/>
  <c r="E355" i="7" s="1"/>
  <c r="E426" i="7"/>
  <c r="J35" i="7"/>
  <c r="B358" i="7" s="1"/>
  <c r="C358" i="7" s="1"/>
  <c r="D358" i="7" s="1"/>
  <c r="E358" i="7" s="1"/>
  <c r="J6" i="7"/>
  <c r="B329" i="7" s="1"/>
  <c r="C329" i="7" s="1"/>
  <c r="D329" i="7" s="1"/>
  <c r="E329" i="7" s="1"/>
  <c r="J26" i="7"/>
  <c r="B349" i="7" s="1"/>
  <c r="C349" i="7" s="1"/>
  <c r="D349" i="7" s="1"/>
  <c r="E349" i="7" s="1"/>
  <c r="J13" i="7"/>
  <c r="B336" i="7" s="1"/>
  <c r="C336" i="7" s="1"/>
  <c r="D336" i="7" s="1"/>
  <c r="E336" i="7" s="1"/>
  <c r="J23" i="7"/>
  <c r="B346" i="7" s="1"/>
  <c r="C346" i="7" s="1"/>
  <c r="D346" i="7" s="1"/>
  <c r="E346" i="7" s="1"/>
  <c r="I119" i="1"/>
  <c r="E405" i="7"/>
  <c r="F362" i="2"/>
  <c r="I362" i="2"/>
  <c r="C362" i="2"/>
  <c r="E362" i="2" s="1"/>
  <c r="J362" i="2"/>
  <c r="G362" i="2"/>
  <c r="J14" i="7"/>
  <c r="B337" i="7" s="1"/>
  <c r="C337" i="7" s="1"/>
  <c r="D337" i="7" s="1"/>
  <c r="E337" i="7" s="1"/>
  <c r="E401" i="7"/>
  <c r="E77" i="6"/>
  <c r="N77" i="6"/>
  <c r="E61" i="6"/>
  <c r="N61" i="6"/>
  <c r="E57" i="6"/>
  <c r="N57" i="6"/>
  <c r="E65" i="6"/>
  <c r="N65" i="6"/>
  <c r="E69" i="6"/>
  <c r="N69" i="6"/>
  <c r="E73" i="6"/>
  <c r="N73" i="6"/>
  <c r="E103" i="6"/>
  <c r="E53" i="6"/>
  <c r="C80" i="6"/>
  <c r="E99" i="6"/>
  <c r="C126" i="6"/>
  <c r="E115" i="6"/>
  <c r="E119" i="6"/>
  <c r="E123" i="6"/>
  <c r="E111" i="6"/>
  <c r="S266" i="2"/>
  <c r="S336" i="2"/>
  <c r="P336" i="2" s="1"/>
  <c r="E107" i="6"/>
  <c r="T334" i="2"/>
  <c r="W334" i="2" s="1"/>
  <c r="M82" i="2"/>
  <c r="J14" i="8"/>
  <c r="A324" i="8" s="1"/>
  <c r="B324" i="8" s="1"/>
  <c r="J24" i="8"/>
  <c r="A334" i="8" s="1"/>
  <c r="C334" i="8" s="1"/>
  <c r="J32" i="8"/>
  <c r="A342" i="8" s="1"/>
  <c r="E342" i="8" s="1"/>
  <c r="J35" i="8"/>
  <c r="A345" i="8" s="1"/>
  <c r="E345" i="8" s="1"/>
  <c r="F345" i="8" s="1"/>
  <c r="J5" i="8"/>
  <c r="A315" i="8" s="1"/>
  <c r="B315" i="8" s="1"/>
  <c r="J10" i="8"/>
  <c r="A320" i="8" s="1"/>
  <c r="C320" i="8" s="1"/>
  <c r="J15" i="8"/>
  <c r="A325" i="8" s="1"/>
  <c r="E325" i="8" s="1"/>
  <c r="F325" i="8" s="1"/>
  <c r="J25" i="8"/>
  <c r="A335" i="8" s="1"/>
  <c r="C335" i="8" s="1"/>
  <c r="J33" i="8"/>
  <c r="A343" i="8" s="1"/>
  <c r="B343" i="8" s="1"/>
  <c r="J6" i="8"/>
  <c r="A316" i="8" s="1"/>
  <c r="C316" i="8" s="1"/>
  <c r="J16" i="8"/>
  <c r="A326" i="8" s="1"/>
  <c r="B326" i="8" s="1"/>
  <c r="J13" i="8"/>
  <c r="A323" i="8" s="1"/>
  <c r="B323" i="8" s="1"/>
  <c r="J18" i="8"/>
  <c r="A328" i="8" s="1"/>
  <c r="B328" i="8" s="1"/>
  <c r="J31" i="8"/>
  <c r="A341" i="8" s="1"/>
  <c r="C341" i="8" s="1"/>
  <c r="E33" i="6"/>
  <c r="B115" i="4"/>
  <c r="B74" i="5"/>
  <c r="B107" i="4"/>
  <c r="B66" i="5"/>
  <c r="J26" i="8"/>
  <c r="A336" i="8" s="1"/>
  <c r="B336" i="8" s="1"/>
  <c r="J23" i="8"/>
  <c r="A333" i="8" s="1"/>
  <c r="B333" i="8" s="1"/>
  <c r="G109" i="1"/>
  <c r="L79" i="2"/>
  <c r="H109" i="1" s="1"/>
  <c r="J412" i="8"/>
  <c r="J137" i="1" s="1"/>
  <c r="I137" i="1"/>
  <c r="J408" i="8"/>
  <c r="J133" i="1" s="1"/>
  <c r="I133" i="1"/>
  <c r="J405" i="8"/>
  <c r="J130" i="1" s="1"/>
  <c r="I130" i="1"/>
  <c r="J403" i="8"/>
  <c r="J128" i="1" s="1"/>
  <c r="I128" i="1"/>
  <c r="J410" i="8"/>
  <c r="J135" i="1" s="1"/>
  <c r="I135" i="1"/>
  <c r="J407" i="8"/>
  <c r="J132" i="1" s="1"/>
  <c r="I132" i="1"/>
  <c r="J404" i="8"/>
  <c r="J129" i="1" s="1"/>
  <c r="I129" i="1"/>
  <c r="J415" i="8"/>
  <c r="J140" i="1" s="1"/>
  <c r="I140" i="1"/>
  <c r="J411" i="8"/>
  <c r="J136" i="1" s="1"/>
  <c r="I136" i="1"/>
  <c r="J406" i="8"/>
  <c r="J131" i="1" s="1"/>
  <c r="I131" i="1"/>
  <c r="J395" i="8"/>
  <c r="J120" i="1" s="1"/>
  <c r="I120" i="1"/>
  <c r="J392" i="8"/>
  <c r="J117" i="1" s="1"/>
  <c r="I117" i="1"/>
  <c r="A270" i="2"/>
  <c r="F49" i="1"/>
  <c r="A280" i="2"/>
  <c r="F59" i="1"/>
  <c r="A288" i="2"/>
  <c r="F67" i="1"/>
  <c r="J35" i="3"/>
  <c r="C124" i="5"/>
  <c r="B166" i="4"/>
  <c r="A261" i="2"/>
  <c r="F40" i="1"/>
  <c r="A266" i="2"/>
  <c r="F45" i="1"/>
  <c r="A271" i="2"/>
  <c r="F50" i="1"/>
  <c r="A281" i="2"/>
  <c r="F60" i="1"/>
  <c r="J33" i="3"/>
  <c r="C122" i="5"/>
  <c r="B164" i="4"/>
  <c r="J6" i="3"/>
  <c r="C95" i="5"/>
  <c r="B137" i="4"/>
  <c r="J16" i="3"/>
  <c r="C105" i="5"/>
  <c r="B147" i="4"/>
  <c r="J26" i="3"/>
  <c r="C115" i="5"/>
  <c r="B157" i="4"/>
  <c r="I40" i="2"/>
  <c r="G40" i="2"/>
  <c r="E40" i="2"/>
  <c r="C40" i="2"/>
  <c r="H40" i="2"/>
  <c r="F40" i="2"/>
  <c r="D40" i="2"/>
  <c r="C74" i="1"/>
  <c r="A269" i="2"/>
  <c r="F48" i="1"/>
  <c r="A274" i="2"/>
  <c r="F53" i="1"/>
  <c r="A279" i="2"/>
  <c r="F58" i="1"/>
  <c r="A287" i="2"/>
  <c r="F66" i="1"/>
  <c r="C276" i="5"/>
  <c r="B414" i="4"/>
  <c r="C252" i="5"/>
  <c r="B390" i="4"/>
  <c r="C258" i="5"/>
  <c r="B396" i="4"/>
  <c r="C264" i="5"/>
  <c r="B402" i="4"/>
  <c r="C255" i="5"/>
  <c r="B393" i="4"/>
  <c r="B411" i="4"/>
  <c r="C273" i="5"/>
  <c r="C247" i="5"/>
  <c r="B385" i="4"/>
  <c r="C253" i="5"/>
  <c r="B391" i="4"/>
  <c r="C274" i="5"/>
  <c r="B412" i="4"/>
  <c r="C251" i="5"/>
  <c r="B389" i="4"/>
  <c r="C271" i="5"/>
  <c r="B409" i="4"/>
  <c r="C278" i="5"/>
  <c r="B416" i="4"/>
  <c r="B99" i="4"/>
  <c r="B58" i="5"/>
  <c r="A264" i="2"/>
  <c r="F43" i="1"/>
  <c r="A276" i="2"/>
  <c r="F55" i="1"/>
  <c r="A284" i="2"/>
  <c r="F63" i="1"/>
  <c r="F69" i="1"/>
  <c r="A290" i="2"/>
  <c r="A260" i="2"/>
  <c r="F39" i="1"/>
  <c r="A265" i="2"/>
  <c r="F44" i="1"/>
  <c r="A267" i="2"/>
  <c r="F46" i="1"/>
  <c r="A277" i="2"/>
  <c r="F56" i="1"/>
  <c r="A285" i="2"/>
  <c r="F64" i="1"/>
  <c r="J12" i="3"/>
  <c r="C101" i="5"/>
  <c r="B143" i="4"/>
  <c r="J22" i="3"/>
  <c r="C111" i="5"/>
  <c r="B153" i="4"/>
  <c r="J30" i="3"/>
  <c r="C119" i="5"/>
  <c r="B161" i="4"/>
  <c r="A263" i="2"/>
  <c r="F42" i="1"/>
  <c r="A273" i="2"/>
  <c r="F52" i="1"/>
  <c r="A275" i="2"/>
  <c r="F54" i="1"/>
  <c r="A283" i="2"/>
  <c r="F62" i="1"/>
  <c r="C268" i="5"/>
  <c r="B406" i="4"/>
  <c r="C259" i="5"/>
  <c r="B397" i="4"/>
  <c r="C277" i="5"/>
  <c r="B415" i="4"/>
  <c r="C250" i="5"/>
  <c r="B388" i="4"/>
  <c r="C256" i="5"/>
  <c r="B394" i="4"/>
  <c r="C262" i="5"/>
  <c r="B400" i="4"/>
  <c r="C267" i="5"/>
  <c r="B405" i="4"/>
  <c r="B113" i="4"/>
  <c r="B72" i="5"/>
  <c r="B100" i="4"/>
  <c r="B59" i="5"/>
  <c r="B57" i="5"/>
  <c r="B104" i="4"/>
  <c r="B63" i="5"/>
  <c r="J8" i="8"/>
  <c r="A318" i="8" s="1"/>
  <c r="J20" i="8"/>
  <c r="A330" i="8" s="1"/>
  <c r="J28" i="8"/>
  <c r="A338" i="8" s="1"/>
  <c r="J34" i="8"/>
  <c r="A344" i="8" s="1"/>
  <c r="J4" i="8"/>
  <c r="A314" i="8" s="1"/>
  <c r="J9" i="8"/>
  <c r="A319" i="8" s="1"/>
  <c r="J11" i="8"/>
  <c r="A321" i="8" s="1"/>
  <c r="J21" i="8"/>
  <c r="A331" i="8" s="1"/>
  <c r="J29" i="8"/>
  <c r="A339" i="8" s="1"/>
  <c r="J12" i="8"/>
  <c r="A322" i="8" s="1"/>
  <c r="J22" i="8"/>
  <c r="A332" i="8" s="1"/>
  <c r="J30" i="8"/>
  <c r="A340" i="8" s="1"/>
  <c r="J7" i="8"/>
  <c r="A317" i="8" s="1"/>
  <c r="J17" i="8"/>
  <c r="A327" i="8" s="1"/>
  <c r="J19" i="8"/>
  <c r="A329" i="8" s="1"/>
  <c r="J27" i="8"/>
  <c r="A337" i="8" s="1"/>
  <c r="J414" i="8"/>
  <c r="J139" i="1" s="1"/>
  <c r="I139" i="1"/>
  <c r="J409" i="8"/>
  <c r="J134" i="1" s="1"/>
  <c r="I134" i="1"/>
  <c r="J397" i="8"/>
  <c r="J122" i="1" s="1"/>
  <c r="I122" i="1"/>
  <c r="J398" i="8"/>
  <c r="J123" i="1" s="1"/>
  <c r="I123" i="1"/>
  <c r="B313" i="8"/>
  <c r="E313" i="8"/>
  <c r="F313" i="8" s="1"/>
  <c r="C313" i="8"/>
  <c r="J14" i="3"/>
  <c r="C103" i="5"/>
  <c r="B145" i="4"/>
  <c r="J24" i="3"/>
  <c r="C113" i="5"/>
  <c r="B155" i="4"/>
  <c r="J32" i="3"/>
  <c r="C121" i="5"/>
  <c r="B163" i="4"/>
  <c r="A291" i="2"/>
  <c r="F70" i="1"/>
  <c r="J5" i="3"/>
  <c r="C94" i="5"/>
  <c r="B136" i="4"/>
  <c r="J10" i="3"/>
  <c r="C99" i="5"/>
  <c r="B141" i="4"/>
  <c r="J15" i="3"/>
  <c r="C104" i="5"/>
  <c r="B146" i="4"/>
  <c r="J25" i="3"/>
  <c r="C114" i="5"/>
  <c r="B156" i="4"/>
  <c r="F68" i="1"/>
  <c r="A289" i="2"/>
  <c r="A262" i="2"/>
  <c r="F41" i="1"/>
  <c r="A272" i="2"/>
  <c r="F51" i="1"/>
  <c r="A282" i="2"/>
  <c r="F61" i="1"/>
  <c r="C259" i="2"/>
  <c r="E259" i="2" s="1"/>
  <c r="H259" i="2"/>
  <c r="J259" i="2"/>
  <c r="I259" i="2"/>
  <c r="F259" i="2"/>
  <c r="G259" i="2"/>
  <c r="J13" i="3"/>
  <c r="B302" i="3" s="1"/>
  <c r="C102" i="5"/>
  <c r="B144" i="4"/>
  <c r="J18" i="3"/>
  <c r="C107" i="5"/>
  <c r="B149" i="4"/>
  <c r="J23" i="3"/>
  <c r="B312" i="3" s="1"/>
  <c r="C112" i="5"/>
  <c r="B154" i="4"/>
  <c r="J31" i="3"/>
  <c r="C120" i="5"/>
  <c r="B162" i="4"/>
  <c r="C272" i="5"/>
  <c r="B410" i="4"/>
  <c r="C265" i="5"/>
  <c r="B403" i="4"/>
  <c r="C260" i="5"/>
  <c r="B398" i="4"/>
  <c r="C266" i="5"/>
  <c r="B404" i="4"/>
  <c r="C263" i="5"/>
  <c r="B401" i="4"/>
  <c r="C326" i="7"/>
  <c r="D326" i="7" s="1"/>
  <c r="E326" i="7" s="1"/>
  <c r="B292" i="3"/>
  <c r="J8" i="3"/>
  <c r="B297" i="3" s="1"/>
  <c r="C97" i="5"/>
  <c r="B139" i="4"/>
  <c r="J20" i="3"/>
  <c r="C109" i="5"/>
  <c r="B151" i="4"/>
  <c r="J28" i="3"/>
  <c r="C117" i="5"/>
  <c r="B159" i="4"/>
  <c r="J34" i="3"/>
  <c r="C123" i="5"/>
  <c r="B165" i="4"/>
  <c r="J4" i="3"/>
  <c r="C93" i="5"/>
  <c r="B135" i="4"/>
  <c r="J9" i="3"/>
  <c r="C98" i="5"/>
  <c r="B140" i="4"/>
  <c r="J11" i="3"/>
  <c r="C100" i="5"/>
  <c r="B142" i="4"/>
  <c r="J21" i="3"/>
  <c r="C110" i="5"/>
  <c r="B152" i="4"/>
  <c r="J29" i="3"/>
  <c r="C118" i="5"/>
  <c r="B160" i="4"/>
  <c r="A268" i="2"/>
  <c r="F47" i="1"/>
  <c r="A278" i="2"/>
  <c r="F57" i="1"/>
  <c r="A286" i="2"/>
  <c r="F65" i="1"/>
  <c r="J7" i="3"/>
  <c r="C96" i="5"/>
  <c r="B138" i="4"/>
  <c r="J17" i="3"/>
  <c r="C106" i="5"/>
  <c r="B148" i="4"/>
  <c r="J19" i="3"/>
  <c r="C108" i="5"/>
  <c r="B150" i="4"/>
  <c r="J27" i="3"/>
  <c r="C116" i="5"/>
  <c r="B158" i="4"/>
  <c r="C248" i="5"/>
  <c r="B386" i="4"/>
  <c r="B392" i="4"/>
  <c r="C254" i="5"/>
  <c r="C261" i="5"/>
  <c r="B399" i="4"/>
  <c r="C249" i="5"/>
  <c r="B387" i="4"/>
  <c r="C269" i="5"/>
  <c r="B407" i="4"/>
  <c r="B408" i="4"/>
  <c r="C270" i="5"/>
  <c r="B395" i="4"/>
  <c r="C257" i="5"/>
  <c r="C275" i="5"/>
  <c r="B413" i="4"/>
  <c r="B103" i="4"/>
  <c r="B62" i="5"/>
  <c r="B109" i="4"/>
  <c r="B68" i="5"/>
  <c r="J8" i="7"/>
  <c r="B331" i="7" s="1"/>
  <c r="J20" i="7"/>
  <c r="B343" i="7" s="1"/>
  <c r="J28" i="7"/>
  <c r="B351" i="7" s="1"/>
  <c r="J34" i="7"/>
  <c r="B357" i="7" s="1"/>
  <c r="J4" i="7"/>
  <c r="B327" i="7" s="1"/>
  <c r="J9" i="7"/>
  <c r="B332" i="7" s="1"/>
  <c r="J11" i="7"/>
  <c r="B334" i="7" s="1"/>
  <c r="J21" i="7"/>
  <c r="B344" i="7" s="1"/>
  <c r="J29" i="7"/>
  <c r="B352" i="7" s="1"/>
  <c r="J12" i="7"/>
  <c r="B335" i="7" s="1"/>
  <c r="J22" i="7"/>
  <c r="B345" i="7" s="1"/>
  <c r="J30" i="7"/>
  <c r="B353" i="7" s="1"/>
  <c r="J7" i="7"/>
  <c r="B330" i="7" s="1"/>
  <c r="J17" i="7"/>
  <c r="B340" i="7" s="1"/>
  <c r="J19" i="7"/>
  <c r="B342" i="7" s="1"/>
  <c r="J27" i="7"/>
  <c r="B350" i="7" s="1"/>
  <c r="B56" i="5" l="1"/>
  <c r="E333" i="8"/>
  <c r="F333" i="8" s="1"/>
  <c r="B335" i="8"/>
  <c r="E341" i="8"/>
  <c r="F341" i="8" s="1"/>
  <c r="B341" i="8"/>
  <c r="D341" i="8" s="1"/>
  <c r="G341" i="8" s="1"/>
  <c r="H341" i="8" s="1"/>
  <c r="C325" i="8"/>
  <c r="T335" i="2"/>
  <c r="W335" i="2" s="1"/>
  <c r="B106" i="4"/>
  <c r="C106" i="4" s="1"/>
  <c r="B320" i="8"/>
  <c r="D320" i="8" s="1"/>
  <c r="B325" i="8"/>
  <c r="B60" i="5"/>
  <c r="B214" i="5" s="1"/>
  <c r="C214" i="5" s="1"/>
  <c r="D214" i="5" s="1"/>
  <c r="B85" i="5"/>
  <c r="B239" i="5" s="1"/>
  <c r="C239" i="5" s="1"/>
  <c r="D239" i="5" s="1"/>
  <c r="B71" i="5"/>
  <c r="C71" i="5" s="1"/>
  <c r="D71" i="5" s="1"/>
  <c r="E320" i="8"/>
  <c r="F320" i="8" s="1"/>
  <c r="L82" i="2"/>
  <c r="H112" i="1" s="1"/>
  <c r="E336" i="8"/>
  <c r="F336" i="8" s="1"/>
  <c r="C336" i="8"/>
  <c r="D336" i="8" s="1"/>
  <c r="B61" i="5"/>
  <c r="B215" i="5" s="1"/>
  <c r="C215" i="5" s="1"/>
  <c r="D215" i="5" s="1"/>
  <c r="E328" i="8"/>
  <c r="F328" i="8" s="1"/>
  <c r="C315" i="8"/>
  <c r="D315" i="8" s="1"/>
  <c r="L410" i="7"/>
  <c r="E315" i="8"/>
  <c r="F315" i="8" s="1"/>
  <c r="B73" i="5"/>
  <c r="C73" i="5" s="1"/>
  <c r="D73" i="5" s="1"/>
  <c r="M417" i="7"/>
  <c r="L98" i="7" s="1"/>
  <c r="C333" i="8"/>
  <c r="D333" i="8" s="1"/>
  <c r="B316" i="8"/>
  <c r="D316" i="8" s="1"/>
  <c r="C345" i="8"/>
  <c r="N259" i="2"/>
  <c r="B345" i="8"/>
  <c r="E323" i="8"/>
  <c r="F323" i="8" s="1"/>
  <c r="C323" i="8"/>
  <c r="D323" i="8" s="1"/>
  <c r="E343" i="8"/>
  <c r="F343" i="8" s="1"/>
  <c r="E324" i="8"/>
  <c r="F324" i="8" s="1"/>
  <c r="C324" i="8"/>
  <c r="D324" i="8" s="1"/>
  <c r="G404" i="7"/>
  <c r="H404" i="7" s="1"/>
  <c r="J404" i="7"/>
  <c r="K404" i="7" s="1"/>
  <c r="F404" i="7"/>
  <c r="K85" i="7" s="1"/>
  <c r="C342" i="8"/>
  <c r="D313" i="8"/>
  <c r="G313" i="8" s="1"/>
  <c r="H313" i="8" s="1"/>
  <c r="J426" i="7"/>
  <c r="K426" i="7" s="1"/>
  <c r="F426" i="7"/>
  <c r="K107" i="7" s="1"/>
  <c r="G426" i="7"/>
  <c r="H426" i="7" s="1"/>
  <c r="I426" i="7" s="1"/>
  <c r="G409" i="7"/>
  <c r="H409" i="7" s="1"/>
  <c r="I409" i="7" s="1"/>
  <c r="J409" i="7"/>
  <c r="K409" i="7" s="1"/>
  <c r="F409" i="7"/>
  <c r="K90" i="7" s="1"/>
  <c r="F397" i="7"/>
  <c r="K78" i="7" s="1"/>
  <c r="J397" i="7"/>
  <c r="K397" i="7" s="1"/>
  <c r="G397" i="7"/>
  <c r="H397" i="7" s="1"/>
  <c r="J399" i="7"/>
  <c r="K399" i="7" s="1"/>
  <c r="F399" i="7"/>
  <c r="K80" i="7" s="1"/>
  <c r="G399" i="7"/>
  <c r="H399" i="7" s="1"/>
  <c r="G419" i="7"/>
  <c r="H419" i="7" s="1"/>
  <c r="J419" i="7"/>
  <c r="K419" i="7" s="1"/>
  <c r="F419" i="7"/>
  <c r="K100" i="7" s="1"/>
  <c r="C328" i="8"/>
  <c r="D328" i="8" s="1"/>
  <c r="P259" i="2"/>
  <c r="Q259" i="2" s="1"/>
  <c r="C343" i="8"/>
  <c r="D343" i="8" s="1"/>
  <c r="E335" i="8"/>
  <c r="F335" i="8" s="1"/>
  <c r="E80" i="6"/>
  <c r="J401" i="7"/>
  <c r="K401" i="7" s="1"/>
  <c r="F401" i="7"/>
  <c r="K82" i="7" s="1"/>
  <c r="G401" i="7"/>
  <c r="H401" i="7" s="1"/>
  <c r="I401" i="7" s="1"/>
  <c r="F405" i="7"/>
  <c r="K86" i="7" s="1"/>
  <c r="G405" i="7"/>
  <c r="H405" i="7" s="1"/>
  <c r="I405" i="7" s="1"/>
  <c r="J405" i="7"/>
  <c r="K405" i="7" s="1"/>
  <c r="G406" i="7"/>
  <c r="H406" i="7" s="1"/>
  <c r="I406" i="7" s="1"/>
  <c r="J406" i="7"/>
  <c r="K406" i="7" s="1"/>
  <c r="F406" i="7"/>
  <c r="K87" i="7" s="1"/>
  <c r="G427" i="7"/>
  <c r="H427" i="7" s="1"/>
  <c r="F427" i="7"/>
  <c r="K108" i="7" s="1"/>
  <c r="J427" i="7"/>
  <c r="K427" i="7" s="1"/>
  <c r="F416" i="7"/>
  <c r="K97" i="7" s="1"/>
  <c r="J416" i="7"/>
  <c r="K416" i="7" s="1"/>
  <c r="G416" i="7"/>
  <c r="H416" i="7" s="1"/>
  <c r="J413" i="7"/>
  <c r="K413" i="7" s="1"/>
  <c r="F413" i="7"/>
  <c r="K94" i="7" s="1"/>
  <c r="G413" i="7"/>
  <c r="H413" i="7" s="1"/>
  <c r="F414" i="7"/>
  <c r="K95" i="7" s="1"/>
  <c r="G414" i="7"/>
  <c r="H414" i="7" s="1"/>
  <c r="I414" i="7" s="1"/>
  <c r="J414" i="7"/>
  <c r="K414" i="7" s="1"/>
  <c r="J400" i="7"/>
  <c r="K400" i="7" s="1"/>
  <c r="F400" i="7"/>
  <c r="K81" i="7" s="1"/>
  <c r="G400" i="7"/>
  <c r="H400" i="7" s="1"/>
  <c r="J424" i="7"/>
  <c r="K424" i="7" s="1"/>
  <c r="F424" i="7"/>
  <c r="K105" i="7" s="1"/>
  <c r="G424" i="7"/>
  <c r="H424" i="7" s="1"/>
  <c r="E316" i="8"/>
  <c r="F316" i="8" s="1"/>
  <c r="N362" i="2"/>
  <c r="K362" i="2"/>
  <c r="J423" i="7"/>
  <c r="K423" i="7" s="1"/>
  <c r="F423" i="7"/>
  <c r="K104" i="7" s="1"/>
  <c r="G423" i="7"/>
  <c r="H423" i="7" s="1"/>
  <c r="J422" i="7"/>
  <c r="K422" i="7" s="1"/>
  <c r="F422" i="7"/>
  <c r="K103" i="7" s="1"/>
  <c r="G422" i="7"/>
  <c r="H422" i="7" s="1"/>
  <c r="J415" i="7"/>
  <c r="K415" i="7" s="1"/>
  <c r="F415" i="7"/>
  <c r="K96" i="7" s="1"/>
  <c r="G415" i="7"/>
  <c r="H415" i="7" s="1"/>
  <c r="J407" i="7"/>
  <c r="K407" i="7" s="1"/>
  <c r="F407" i="7"/>
  <c r="K88" i="7" s="1"/>
  <c r="G407" i="7"/>
  <c r="H407" i="7" s="1"/>
  <c r="C326" i="8"/>
  <c r="D326" i="8" s="1"/>
  <c r="B342" i="8"/>
  <c r="E334" i="8"/>
  <c r="F334" i="8" s="1"/>
  <c r="B55" i="5"/>
  <c r="B209" i="5" s="1"/>
  <c r="C209" i="5" s="1"/>
  <c r="D209" i="5" s="1"/>
  <c r="G425" i="7"/>
  <c r="H425" i="7" s="1"/>
  <c r="J425" i="7"/>
  <c r="K425" i="7" s="1"/>
  <c r="F425" i="7"/>
  <c r="K106" i="7" s="1"/>
  <c r="G421" i="7"/>
  <c r="H421" i="7" s="1"/>
  <c r="J421" i="7"/>
  <c r="K421" i="7" s="1"/>
  <c r="F421" i="7"/>
  <c r="K102" i="7" s="1"/>
  <c r="J418" i="7"/>
  <c r="K418" i="7" s="1"/>
  <c r="F418" i="7"/>
  <c r="K99" i="7" s="1"/>
  <c r="G418" i="7"/>
  <c r="H418" i="7" s="1"/>
  <c r="U335" i="2"/>
  <c r="K83" i="2" s="1"/>
  <c r="V335" i="2"/>
  <c r="C146" i="8"/>
  <c r="K145" i="8" s="1"/>
  <c r="D147" i="8"/>
  <c r="C147" i="8" s="1"/>
  <c r="J408" i="7"/>
  <c r="K408" i="7" s="1"/>
  <c r="F408" i="7"/>
  <c r="K89" i="7" s="1"/>
  <c r="G408" i="7"/>
  <c r="H408" i="7" s="1"/>
  <c r="G428" i="7"/>
  <c r="H428" i="7" s="1"/>
  <c r="J428" i="7"/>
  <c r="K428" i="7" s="1"/>
  <c r="F428" i="7"/>
  <c r="K109" i="7" s="1"/>
  <c r="G403" i="7"/>
  <c r="H403" i="7" s="1"/>
  <c r="F403" i="7"/>
  <c r="K84" i="7" s="1"/>
  <c r="J403" i="7"/>
  <c r="K403" i="7" s="1"/>
  <c r="J396" i="7"/>
  <c r="K396" i="7" s="1"/>
  <c r="F396" i="7"/>
  <c r="K77" i="7" s="1"/>
  <c r="G396" i="7"/>
  <c r="H396" i="7" s="1"/>
  <c r="G412" i="7"/>
  <c r="H412" i="7" s="1"/>
  <c r="F412" i="7"/>
  <c r="K93" i="7" s="1"/>
  <c r="J412" i="7"/>
  <c r="K412" i="7" s="1"/>
  <c r="E326" i="8"/>
  <c r="F326" i="8" s="1"/>
  <c r="F342" i="8"/>
  <c r="B334" i="8"/>
  <c r="D334" i="8" s="1"/>
  <c r="G398" i="7"/>
  <c r="H398" i="7" s="1"/>
  <c r="F398" i="7"/>
  <c r="K79" i="7" s="1"/>
  <c r="J398" i="7"/>
  <c r="K398" i="7" s="1"/>
  <c r="L362" i="2"/>
  <c r="L417" i="7"/>
  <c r="F420" i="7"/>
  <c r="K101" i="7" s="1"/>
  <c r="G420" i="7"/>
  <c r="H420" i="7" s="1"/>
  <c r="J420" i="7"/>
  <c r="K420" i="7" s="1"/>
  <c r="G402" i="7"/>
  <c r="H402" i="7" s="1"/>
  <c r="J402" i="7"/>
  <c r="K402" i="7" s="1"/>
  <c r="F402" i="7"/>
  <c r="K83" i="7" s="1"/>
  <c r="G411" i="7"/>
  <c r="H411" i="7" s="1"/>
  <c r="J411" i="7"/>
  <c r="K411" i="7" s="1"/>
  <c r="F411" i="7"/>
  <c r="K92" i="7" s="1"/>
  <c r="N80" i="6"/>
  <c r="Q336" i="2"/>
  <c r="R336" i="2" s="1"/>
  <c r="X336" i="2"/>
  <c r="E126" i="6"/>
  <c r="S267" i="2"/>
  <c r="S337" i="2"/>
  <c r="P337" i="2" s="1"/>
  <c r="N126" i="6"/>
  <c r="B602" i="4"/>
  <c r="C602" i="4" s="1"/>
  <c r="B1338" i="4"/>
  <c r="C1338" i="4" s="1"/>
  <c r="C107" i="4"/>
  <c r="B1584" i="4"/>
  <c r="C1584" i="4" s="1"/>
  <c r="B357" i="4"/>
  <c r="C357" i="4" s="1"/>
  <c r="B847" i="4"/>
  <c r="C847" i="4" s="1"/>
  <c r="B1092" i="4"/>
  <c r="C1092" i="4" s="1"/>
  <c r="B346" i="4"/>
  <c r="C346" i="4" s="1"/>
  <c r="B344" i="4"/>
  <c r="B1573" i="4"/>
  <c r="C1573" i="4" s="1"/>
  <c r="B1081" i="4"/>
  <c r="C1081" i="4" s="1"/>
  <c r="C96" i="4"/>
  <c r="B836" i="4"/>
  <c r="C836" i="4" s="1"/>
  <c r="B1327" i="4"/>
  <c r="C1327" i="4" s="1"/>
  <c r="B591" i="4"/>
  <c r="C591" i="4" s="1"/>
  <c r="B365" i="4"/>
  <c r="C365" i="4" s="1"/>
  <c r="B1592" i="4"/>
  <c r="C1592" i="4" s="1"/>
  <c r="B855" i="4"/>
  <c r="C855" i="4" s="1"/>
  <c r="B1346" i="4"/>
  <c r="C1346" i="4" s="1"/>
  <c r="C115" i="4"/>
  <c r="B610" i="4"/>
  <c r="C610" i="4" s="1"/>
  <c r="B1100" i="4"/>
  <c r="C1100" i="4" s="1"/>
  <c r="C126" i="4"/>
  <c r="B1603" i="4"/>
  <c r="C1603" i="4" s="1"/>
  <c r="B1111" i="4"/>
  <c r="C1111" i="4" s="1"/>
  <c r="B621" i="4"/>
  <c r="C621" i="4" s="1"/>
  <c r="B1357" i="4"/>
  <c r="C1357" i="4" s="1"/>
  <c r="B866" i="4"/>
  <c r="C866" i="4" s="1"/>
  <c r="B376" i="4"/>
  <c r="C376" i="4" s="1"/>
  <c r="C66" i="5"/>
  <c r="D66" i="5" s="1"/>
  <c r="B220" i="5"/>
  <c r="C220" i="5" s="1"/>
  <c r="D220" i="5" s="1"/>
  <c r="B228" i="5"/>
  <c r="C228" i="5" s="1"/>
  <c r="D228" i="5" s="1"/>
  <c r="C74" i="5"/>
  <c r="D74" i="5" s="1"/>
  <c r="J349" i="7"/>
  <c r="K349" i="7" s="1"/>
  <c r="F349" i="7"/>
  <c r="K26" i="7" s="1"/>
  <c r="G349" i="7"/>
  <c r="H349" i="7" s="1"/>
  <c r="G339" i="7"/>
  <c r="H339" i="7" s="1"/>
  <c r="J339" i="7"/>
  <c r="K339" i="7" s="1"/>
  <c r="F339" i="7"/>
  <c r="K16" i="7" s="1"/>
  <c r="G348" i="7"/>
  <c r="H348" i="7" s="1"/>
  <c r="J348" i="7"/>
  <c r="K348" i="7" s="1"/>
  <c r="F348" i="7"/>
  <c r="K25" i="7" s="1"/>
  <c r="G333" i="7"/>
  <c r="H333" i="7" s="1"/>
  <c r="J333" i="7"/>
  <c r="K333" i="7" s="1"/>
  <c r="F333" i="7"/>
  <c r="K10" i="7" s="1"/>
  <c r="J358" i="7"/>
  <c r="K358" i="7" s="1"/>
  <c r="F358" i="7"/>
  <c r="K35" i="7" s="1"/>
  <c r="G358" i="7"/>
  <c r="H358" i="7" s="1"/>
  <c r="J326" i="7"/>
  <c r="K326" i="7" s="1"/>
  <c r="F326" i="7"/>
  <c r="K3" i="7" s="1"/>
  <c r="G326" i="7"/>
  <c r="H326" i="7" s="1"/>
  <c r="G356" i="7"/>
  <c r="H356" i="7" s="1"/>
  <c r="J356" i="7"/>
  <c r="K356" i="7" s="1"/>
  <c r="F356" i="7"/>
  <c r="K33" i="7" s="1"/>
  <c r="G338" i="7"/>
  <c r="H338" i="7" s="1"/>
  <c r="J338" i="7"/>
  <c r="K338" i="7" s="1"/>
  <c r="F338" i="7"/>
  <c r="K15" i="7" s="1"/>
  <c r="J347" i="7"/>
  <c r="K347" i="7" s="1"/>
  <c r="F347" i="7"/>
  <c r="K24" i="7" s="1"/>
  <c r="G347" i="7"/>
  <c r="H347" i="7" s="1"/>
  <c r="C350" i="7"/>
  <c r="D350" i="7" s="1"/>
  <c r="E350" i="7" s="1"/>
  <c r="C340" i="7"/>
  <c r="D340" i="7" s="1"/>
  <c r="E340" i="7" s="1"/>
  <c r="C353" i="7"/>
  <c r="D353" i="7" s="1"/>
  <c r="E353" i="7" s="1"/>
  <c r="C335" i="7"/>
  <c r="D335" i="7" s="1"/>
  <c r="E335" i="7" s="1"/>
  <c r="C344" i="7"/>
  <c r="D344" i="7" s="1"/>
  <c r="E344" i="7" s="1"/>
  <c r="C332" i="7"/>
  <c r="D332" i="7" s="1"/>
  <c r="E332" i="7" s="1"/>
  <c r="C357" i="7"/>
  <c r="D357" i="7" s="1"/>
  <c r="E357" i="7" s="1"/>
  <c r="C343" i="7"/>
  <c r="D343" i="7" s="1"/>
  <c r="E343" i="7" s="1"/>
  <c r="C68" i="5"/>
  <c r="D68" i="5" s="1"/>
  <c r="B222" i="5"/>
  <c r="C222" i="5" s="1"/>
  <c r="D222" i="5" s="1"/>
  <c r="B216" i="5"/>
  <c r="C216" i="5" s="1"/>
  <c r="D216" i="5" s="1"/>
  <c r="C62" i="5"/>
  <c r="D62" i="5" s="1"/>
  <c r="B219" i="5"/>
  <c r="C219" i="5" s="1"/>
  <c r="D219" i="5" s="1"/>
  <c r="C65" i="5"/>
  <c r="D65" i="5" s="1"/>
  <c r="C60" i="5"/>
  <c r="D60" i="5" s="1"/>
  <c r="B316" i="3"/>
  <c r="B306" i="3"/>
  <c r="B318" i="3"/>
  <c r="B300" i="3"/>
  <c r="B293" i="3"/>
  <c r="B317" i="3"/>
  <c r="C297" i="3"/>
  <c r="D297" i="3" s="1"/>
  <c r="E297" i="3" s="1"/>
  <c r="F297" i="3" s="1"/>
  <c r="G272" i="2"/>
  <c r="N272" i="2" s="1"/>
  <c r="F272" i="2"/>
  <c r="J272" i="2"/>
  <c r="I272" i="2"/>
  <c r="C272" i="2"/>
  <c r="E272" i="2" s="1"/>
  <c r="C289" i="2"/>
  <c r="E289" i="2" s="1"/>
  <c r="G289" i="2"/>
  <c r="N289" i="2" s="1"/>
  <c r="F289" i="2"/>
  <c r="J289" i="2"/>
  <c r="I289" i="2"/>
  <c r="B314" i="3"/>
  <c r="B304" i="3"/>
  <c r="B299" i="3"/>
  <c r="B294" i="3"/>
  <c r="I291" i="2"/>
  <c r="J291" i="2"/>
  <c r="C291" i="2"/>
  <c r="G291" i="2"/>
  <c r="N291" i="2" s="1"/>
  <c r="F291" i="2"/>
  <c r="C329" i="8"/>
  <c r="E329" i="8"/>
  <c r="F329" i="8" s="1"/>
  <c r="B329" i="8"/>
  <c r="B317" i="8"/>
  <c r="C317" i="8"/>
  <c r="E317" i="8"/>
  <c r="F317" i="8" s="1"/>
  <c r="C332" i="8"/>
  <c r="E332" i="8"/>
  <c r="F332" i="8" s="1"/>
  <c r="B332" i="8"/>
  <c r="B339" i="8"/>
  <c r="C339" i="8"/>
  <c r="E339" i="8"/>
  <c r="F339" i="8" s="1"/>
  <c r="B321" i="8"/>
  <c r="C321" i="8"/>
  <c r="E321" i="8"/>
  <c r="F321" i="8" s="1"/>
  <c r="C314" i="8"/>
  <c r="E314" i="8"/>
  <c r="F314" i="8" s="1"/>
  <c r="B314" i="8"/>
  <c r="B338" i="8"/>
  <c r="C338" i="8"/>
  <c r="E338" i="8"/>
  <c r="F338" i="8" s="1"/>
  <c r="B318" i="8"/>
  <c r="C318" i="8"/>
  <c r="E318" i="8"/>
  <c r="F318" i="8" s="1"/>
  <c r="B599" i="4"/>
  <c r="C599" i="4" s="1"/>
  <c r="B1335" i="4"/>
  <c r="C1335" i="4" s="1"/>
  <c r="B1581" i="4"/>
  <c r="C1581" i="4" s="1"/>
  <c r="B1089" i="4"/>
  <c r="C1089" i="4" s="1"/>
  <c r="B844" i="4"/>
  <c r="C844" i="4" s="1"/>
  <c r="C104" i="4"/>
  <c r="B354" i="4"/>
  <c r="C354" i="4" s="1"/>
  <c r="B607" i="4"/>
  <c r="C607" i="4" s="1"/>
  <c r="C112" i="4"/>
  <c r="B1343" i="4"/>
  <c r="C1343" i="4" s="1"/>
  <c r="B1097" i="4"/>
  <c r="C1097" i="4" s="1"/>
  <c r="B362" i="4"/>
  <c r="C362" i="4" s="1"/>
  <c r="B1589" i="4"/>
  <c r="C1589" i="4" s="1"/>
  <c r="B852" i="4"/>
  <c r="C852" i="4" s="1"/>
  <c r="B837" i="4"/>
  <c r="C837" i="4" s="1"/>
  <c r="B592" i="4"/>
  <c r="C592" i="4" s="1"/>
  <c r="B347" i="4"/>
  <c r="C347" i="4" s="1"/>
  <c r="B1574" i="4"/>
  <c r="C1574" i="4" s="1"/>
  <c r="B1328" i="4"/>
  <c r="C1328" i="4" s="1"/>
  <c r="B1082" i="4"/>
  <c r="C1082" i="4" s="1"/>
  <c r="C97" i="4"/>
  <c r="B348" i="4"/>
  <c r="C348" i="4" s="1"/>
  <c r="C98" i="4"/>
  <c r="B1575" i="4"/>
  <c r="C1575" i="4" s="1"/>
  <c r="B1083" i="4"/>
  <c r="C1083" i="4" s="1"/>
  <c r="B838" i="4"/>
  <c r="C838" i="4" s="1"/>
  <c r="B1329" i="4"/>
  <c r="C1329" i="4" s="1"/>
  <c r="B593" i="4"/>
  <c r="C593" i="4" s="1"/>
  <c r="B595" i="4"/>
  <c r="C595" i="4" s="1"/>
  <c r="B840" i="4"/>
  <c r="C840" i="4" s="1"/>
  <c r="B1577" i="4"/>
  <c r="C1577" i="4" s="1"/>
  <c r="C100" i="4"/>
  <c r="B1331" i="4"/>
  <c r="C1331" i="4" s="1"/>
  <c r="B1085" i="4"/>
  <c r="C1085" i="4" s="1"/>
  <c r="B350" i="4"/>
  <c r="C350" i="4" s="1"/>
  <c r="B853" i="4"/>
  <c r="C853" i="4" s="1"/>
  <c r="B1344" i="4"/>
  <c r="C1344" i="4" s="1"/>
  <c r="B1098" i="4"/>
  <c r="C1098" i="4" s="1"/>
  <c r="B608" i="4"/>
  <c r="C608" i="4" s="1"/>
  <c r="B1590" i="4"/>
  <c r="C1590" i="4" s="1"/>
  <c r="C113" i="4"/>
  <c r="B363" i="4"/>
  <c r="C363" i="4" s="1"/>
  <c r="I283" i="2"/>
  <c r="C283" i="2"/>
  <c r="E283" i="2" s="1"/>
  <c r="G283" i="2"/>
  <c r="N283" i="2" s="1"/>
  <c r="F283" i="2"/>
  <c r="J283" i="2"/>
  <c r="I275" i="2"/>
  <c r="C275" i="2"/>
  <c r="E275" i="2" s="1"/>
  <c r="G275" i="2"/>
  <c r="N275" i="2" s="1"/>
  <c r="F275" i="2"/>
  <c r="J275" i="2"/>
  <c r="I273" i="2"/>
  <c r="C273" i="2"/>
  <c r="G273" i="2"/>
  <c r="N273" i="2" s="1"/>
  <c r="F273" i="2"/>
  <c r="J273" i="2"/>
  <c r="J263" i="2"/>
  <c r="I263" i="2"/>
  <c r="C263" i="2"/>
  <c r="E263" i="2" s="1"/>
  <c r="G263" i="2"/>
  <c r="F263" i="2"/>
  <c r="N263" i="2"/>
  <c r="B311" i="3"/>
  <c r="F290" i="2"/>
  <c r="J290" i="2"/>
  <c r="I290" i="2"/>
  <c r="C290" i="2"/>
  <c r="E290" i="2" s="1"/>
  <c r="G290" i="2"/>
  <c r="N290" i="2" s="1"/>
  <c r="B212" i="5"/>
  <c r="C212" i="5" s="1"/>
  <c r="D212" i="5" s="1"/>
  <c r="C58" i="5"/>
  <c r="D58" i="5" s="1"/>
  <c r="J354" i="7"/>
  <c r="K354" i="7" s="1"/>
  <c r="F354" i="7"/>
  <c r="K31" i="7" s="1"/>
  <c r="G354" i="7"/>
  <c r="H354" i="7" s="1"/>
  <c r="J346" i="7"/>
  <c r="K346" i="7" s="1"/>
  <c r="F346" i="7"/>
  <c r="K23" i="7" s="1"/>
  <c r="G346" i="7"/>
  <c r="H346" i="7" s="1"/>
  <c r="J341" i="7"/>
  <c r="K341" i="7" s="1"/>
  <c r="F341" i="7"/>
  <c r="K18" i="7" s="1"/>
  <c r="G341" i="7"/>
  <c r="H341" i="7" s="1"/>
  <c r="J336" i="7"/>
  <c r="K336" i="7" s="1"/>
  <c r="F336" i="7"/>
  <c r="K13" i="7" s="1"/>
  <c r="G336" i="7"/>
  <c r="H336" i="7" s="1"/>
  <c r="F166" i="6"/>
  <c r="F204" i="6" s="1"/>
  <c r="F40" i="7"/>
  <c r="F71" i="2"/>
  <c r="F40" i="3"/>
  <c r="J873" i="4" s="1"/>
  <c r="B949" i="4" s="1"/>
  <c r="F40" i="8"/>
  <c r="F69" i="2"/>
  <c r="F70" i="2"/>
  <c r="F65" i="2"/>
  <c r="F45" i="2"/>
  <c r="F41" i="2"/>
  <c r="F67" i="2"/>
  <c r="F63" i="2"/>
  <c r="F43" i="2"/>
  <c r="F72" i="2"/>
  <c r="F62" i="2"/>
  <c r="F58" i="2"/>
  <c r="F54" i="2"/>
  <c r="F50" i="2"/>
  <c r="F46" i="2"/>
  <c r="F66" i="2"/>
  <c r="F61" i="2"/>
  <c r="F57" i="2"/>
  <c r="F53" i="2"/>
  <c r="F49" i="2"/>
  <c r="F44" i="2"/>
  <c r="F60" i="2"/>
  <c r="F56" i="2"/>
  <c r="F52" i="2"/>
  <c r="F48" i="2"/>
  <c r="F68" i="2"/>
  <c r="F64" i="2"/>
  <c r="F59" i="2"/>
  <c r="F55" i="2"/>
  <c r="F51" i="2"/>
  <c r="F47" i="2"/>
  <c r="F42" i="2"/>
  <c r="C166" i="6"/>
  <c r="C40" i="3"/>
  <c r="C40" i="8"/>
  <c r="C65" i="2"/>
  <c r="C67" i="2"/>
  <c r="C69" i="2"/>
  <c r="C70" i="2"/>
  <c r="J40" i="2"/>
  <c r="A294" i="2" s="1"/>
  <c r="C40" i="7"/>
  <c r="C41" i="2"/>
  <c r="C42" i="2"/>
  <c r="C44" i="2"/>
  <c r="C47" i="2"/>
  <c r="C49" i="2"/>
  <c r="C51" i="2"/>
  <c r="C53" i="2"/>
  <c r="C55" i="2"/>
  <c r="C57" i="2"/>
  <c r="C59" i="2"/>
  <c r="C61" i="2"/>
  <c r="C64" i="2"/>
  <c r="C66" i="2"/>
  <c r="C68" i="2"/>
  <c r="C72" i="2"/>
  <c r="C71" i="2"/>
  <c r="C60" i="2"/>
  <c r="C56" i="2"/>
  <c r="C52" i="2"/>
  <c r="C48" i="2"/>
  <c r="C43" i="2"/>
  <c r="C63" i="2"/>
  <c r="C62" i="2"/>
  <c r="C58" i="2"/>
  <c r="C54" i="2"/>
  <c r="C50" i="2"/>
  <c r="C46" i="2"/>
  <c r="C45" i="2"/>
  <c r="G166" i="6"/>
  <c r="G204" i="6" s="1"/>
  <c r="G40" i="3"/>
  <c r="J1118" i="4" s="1"/>
  <c r="B1194" i="4" s="1"/>
  <c r="G40" i="8"/>
  <c r="G40" i="7"/>
  <c r="G65" i="2"/>
  <c r="G67" i="2"/>
  <c r="G69" i="2"/>
  <c r="G70" i="2"/>
  <c r="G41" i="2"/>
  <c r="G42" i="2"/>
  <c r="G44" i="2"/>
  <c r="G47" i="2"/>
  <c r="G49" i="2"/>
  <c r="G51" i="2"/>
  <c r="G53" i="2"/>
  <c r="G55" i="2"/>
  <c r="G57" i="2"/>
  <c r="G59" i="2"/>
  <c r="G61" i="2"/>
  <c r="G64" i="2"/>
  <c r="G66" i="2"/>
  <c r="G68" i="2"/>
  <c r="G72" i="2"/>
  <c r="G71" i="2"/>
  <c r="G63" i="2"/>
  <c r="G62" i="2"/>
  <c r="G58" i="2"/>
  <c r="G54" i="2"/>
  <c r="G50" i="2"/>
  <c r="G46" i="2"/>
  <c r="G45" i="2"/>
  <c r="G60" i="2"/>
  <c r="G56" i="2"/>
  <c r="G52" i="2"/>
  <c r="G48" i="2"/>
  <c r="G43" i="2"/>
  <c r="B315" i="3"/>
  <c r="B295" i="3"/>
  <c r="G329" i="7"/>
  <c r="H329" i="7" s="1"/>
  <c r="J329" i="7"/>
  <c r="K329" i="7" s="1"/>
  <c r="F329" i="7"/>
  <c r="K6" i="7" s="1"/>
  <c r="J328" i="7"/>
  <c r="K328" i="7" s="1"/>
  <c r="F328" i="7"/>
  <c r="K5" i="7" s="1"/>
  <c r="G328" i="7"/>
  <c r="H328" i="7" s="1"/>
  <c r="B324" i="3"/>
  <c r="G355" i="7"/>
  <c r="H355" i="7" s="1"/>
  <c r="J355" i="7"/>
  <c r="K355" i="7" s="1"/>
  <c r="F355" i="7"/>
  <c r="K32" i="7" s="1"/>
  <c r="F288" i="2"/>
  <c r="J288" i="2"/>
  <c r="I288" i="2"/>
  <c r="C288" i="2"/>
  <c r="E288" i="2" s="1"/>
  <c r="G288" i="2"/>
  <c r="N288" i="2" s="1"/>
  <c r="F280" i="2"/>
  <c r="J280" i="2"/>
  <c r="I280" i="2"/>
  <c r="C280" i="2"/>
  <c r="G280" i="2"/>
  <c r="N280" i="2" s="1"/>
  <c r="G337" i="7"/>
  <c r="H337" i="7" s="1"/>
  <c r="J337" i="7"/>
  <c r="K337" i="7" s="1"/>
  <c r="F337" i="7"/>
  <c r="K14" i="7" s="1"/>
  <c r="G270" i="2"/>
  <c r="K270" i="2" s="1"/>
  <c r="C270" i="2"/>
  <c r="J270" i="2"/>
  <c r="I270" i="2"/>
  <c r="F270" i="2"/>
  <c r="N270" i="2"/>
  <c r="B105" i="4"/>
  <c r="B64" i="5"/>
  <c r="B108" i="4"/>
  <c r="B67" i="5"/>
  <c r="B119" i="4"/>
  <c r="B78" i="5"/>
  <c r="B124" i="4"/>
  <c r="B83" i="5"/>
  <c r="B128" i="4"/>
  <c r="B87" i="5"/>
  <c r="B117" i="4"/>
  <c r="B76" i="5"/>
  <c r="B120" i="4"/>
  <c r="B79" i="5"/>
  <c r="B123" i="4"/>
  <c r="B82" i="5"/>
  <c r="B116" i="4"/>
  <c r="B75" i="5"/>
  <c r="B118" i="4"/>
  <c r="B77" i="5"/>
  <c r="B121" i="4"/>
  <c r="B80" i="5"/>
  <c r="B125" i="4"/>
  <c r="B84" i="5"/>
  <c r="C342" i="7"/>
  <c r="D342" i="7" s="1"/>
  <c r="E342" i="7" s="1"/>
  <c r="C330" i="7"/>
  <c r="D330" i="7" s="1"/>
  <c r="E330" i="7" s="1"/>
  <c r="C345" i="7"/>
  <c r="D345" i="7" s="1"/>
  <c r="E345" i="7" s="1"/>
  <c r="C352" i="7"/>
  <c r="D352" i="7" s="1"/>
  <c r="E352" i="7" s="1"/>
  <c r="C334" i="7"/>
  <c r="D334" i="7" s="1"/>
  <c r="E334" i="7" s="1"/>
  <c r="C327" i="7"/>
  <c r="D327" i="7" s="1"/>
  <c r="E327" i="7" s="1"/>
  <c r="C351" i="7"/>
  <c r="D351" i="7" s="1"/>
  <c r="E351" i="7" s="1"/>
  <c r="C331" i="7"/>
  <c r="D331" i="7" s="1"/>
  <c r="E331" i="7" s="1"/>
  <c r="B604" i="4"/>
  <c r="C604" i="4" s="1"/>
  <c r="C109" i="4"/>
  <c r="B849" i="4"/>
  <c r="C849" i="4" s="1"/>
  <c r="B1586" i="4"/>
  <c r="C1586" i="4" s="1"/>
  <c r="B1340" i="4"/>
  <c r="C1340" i="4" s="1"/>
  <c r="B1094" i="4"/>
  <c r="C1094" i="4" s="1"/>
  <c r="B359" i="4"/>
  <c r="C359" i="4" s="1"/>
  <c r="B1334" i="4"/>
  <c r="C1334" i="4" s="1"/>
  <c r="B598" i="4"/>
  <c r="C598" i="4" s="1"/>
  <c r="B1088" i="4"/>
  <c r="C1088" i="4" s="1"/>
  <c r="B353" i="4"/>
  <c r="C353" i="4" s="1"/>
  <c r="B1580" i="4"/>
  <c r="C1580" i="4" s="1"/>
  <c r="C103" i="4"/>
  <c r="B843" i="4"/>
  <c r="C843" i="4" s="1"/>
  <c r="B846" i="4"/>
  <c r="C846" i="4" s="1"/>
  <c r="B609" i="4"/>
  <c r="C609" i="4" s="1"/>
  <c r="B1591" i="4"/>
  <c r="C1591" i="4" s="1"/>
  <c r="B854" i="4"/>
  <c r="C854" i="4" s="1"/>
  <c r="B1345" i="4"/>
  <c r="C1345" i="4" s="1"/>
  <c r="C114" i="4"/>
  <c r="B1099" i="4"/>
  <c r="C1099" i="4" s="1"/>
  <c r="B364" i="4"/>
  <c r="C364" i="4" s="1"/>
  <c r="B351" i="4"/>
  <c r="C351" i="4" s="1"/>
  <c r="B1578" i="4"/>
  <c r="C1578" i="4" s="1"/>
  <c r="B1332" i="4"/>
  <c r="C1332" i="4" s="1"/>
  <c r="B841" i="4"/>
  <c r="C841" i="4" s="1"/>
  <c r="B1086" i="4"/>
  <c r="C1086" i="4" s="1"/>
  <c r="C101" i="4"/>
  <c r="B596" i="4"/>
  <c r="C596" i="4" s="1"/>
  <c r="B352" i="4"/>
  <c r="C352" i="4" s="1"/>
  <c r="C102" i="4"/>
  <c r="B1333" i="4"/>
  <c r="C1333" i="4" s="1"/>
  <c r="B1579" i="4"/>
  <c r="C1579" i="4" s="1"/>
  <c r="B597" i="4"/>
  <c r="C597" i="4" s="1"/>
  <c r="B1087" i="4"/>
  <c r="C1087" i="4" s="1"/>
  <c r="B842" i="4"/>
  <c r="C842" i="4" s="1"/>
  <c r="B308" i="3"/>
  <c r="B296" i="3"/>
  <c r="F286" i="2"/>
  <c r="J286" i="2"/>
  <c r="I286" i="2"/>
  <c r="C286" i="2"/>
  <c r="E286" i="2" s="1"/>
  <c r="G286" i="2"/>
  <c r="N286" i="2" s="1"/>
  <c r="F278" i="2"/>
  <c r="J278" i="2"/>
  <c r="I278" i="2"/>
  <c r="C278" i="2"/>
  <c r="E278" i="2" s="1"/>
  <c r="G278" i="2"/>
  <c r="N278" i="2" s="1"/>
  <c r="G268" i="2"/>
  <c r="N268" i="2" s="1"/>
  <c r="F268" i="2"/>
  <c r="I268" i="2"/>
  <c r="J268" i="2"/>
  <c r="C268" i="2"/>
  <c r="B310" i="3"/>
  <c r="B298" i="3"/>
  <c r="B323" i="3"/>
  <c r="B309" i="3"/>
  <c r="C292" i="3"/>
  <c r="D292" i="3" s="1"/>
  <c r="E292" i="3" s="1"/>
  <c r="F292" i="3" s="1"/>
  <c r="B320" i="3"/>
  <c r="C312" i="3"/>
  <c r="D312" i="3" s="1"/>
  <c r="E312" i="3" s="1"/>
  <c r="F312" i="3" s="1"/>
  <c r="B307" i="3"/>
  <c r="C302" i="3"/>
  <c r="D302" i="3" s="1"/>
  <c r="E302" i="3" s="1"/>
  <c r="F302" i="3" s="1"/>
  <c r="K259" i="2"/>
  <c r="G282" i="2"/>
  <c r="N282" i="2" s="1"/>
  <c r="F282" i="2"/>
  <c r="J282" i="2"/>
  <c r="I282" i="2"/>
  <c r="C282" i="2"/>
  <c r="E282" i="2" s="1"/>
  <c r="F262" i="2"/>
  <c r="J262" i="2"/>
  <c r="I262" i="2"/>
  <c r="C262" i="2"/>
  <c r="E262" i="2" s="1"/>
  <c r="G262" i="2"/>
  <c r="N262" i="2"/>
  <c r="B321" i="3"/>
  <c r="B313" i="3"/>
  <c r="B303" i="3"/>
  <c r="B111" i="4"/>
  <c r="B70" i="5"/>
  <c r="B110" i="4"/>
  <c r="B69" i="5"/>
  <c r="B122" i="4"/>
  <c r="B81" i="5"/>
  <c r="B127" i="4"/>
  <c r="B86" i="5"/>
  <c r="B337" i="8"/>
  <c r="C337" i="8"/>
  <c r="E337" i="8"/>
  <c r="F337" i="8" s="1"/>
  <c r="C327" i="8"/>
  <c r="E327" i="8"/>
  <c r="F327" i="8" s="1"/>
  <c r="B327" i="8"/>
  <c r="B340" i="8"/>
  <c r="C340" i="8"/>
  <c r="E340" i="8"/>
  <c r="F340" i="8" s="1"/>
  <c r="B322" i="8"/>
  <c r="C322" i="8"/>
  <c r="E322" i="8"/>
  <c r="F322" i="8" s="1"/>
  <c r="B331" i="8"/>
  <c r="E331" i="8"/>
  <c r="F331" i="8" s="1"/>
  <c r="C331" i="8"/>
  <c r="B319" i="8"/>
  <c r="C319" i="8"/>
  <c r="E319" i="8"/>
  <c r="F319" i="8" s="1"/>
  <c r="C344" i="8"/>
  <c r="E344" i="8"/>
  <c r="F344" i="8" s="1"/>
  <c r="B344" i="8"/>
  <c r="C330" i="8"/>
  <c r="E330" i="8"/>
  <c r="F330" i="8" s="1"/>
  <c r="B330" i="8"/>
  <c r="C63" i="5"/>
  <c r="D63" i="5" s="1"/>
  <c r="B217" i="5"/>
  <c r="C217" i="5" s="1"/>
  <c r="D217" i="5" s="1"/>
  <c r="B210" i="5"/>
  <c r="C210" i="5" s="1"/>
  <c r="D210" i="5" s="1"/>
  <c r="C56" i="5"/>
  <c r="D56" i="5" s="1"/>
  <c r="C57" i="5"/>
  <c r="D57" i="5" s="1"/>
  <c r="B211" i="5"/>
  <c r="C211" i="5" s="1"/>
  <c r="D211" i="5" s="1"/>
  <c r="B213" i="5"/>
  <c r="C213" i="5" s="1"/>
  <c r="D213" i="5" s="1"/>
  <c r="C59" i="5"/>
  <c r="D59" i="5" s="1"/>
  <c r="B226" i="5"/>
  <c r="C226" i="5" s="1"/>
  <c r="D226" i="5" s="1"/>
  <c r="C72" i="5"/>
  <c r="D72" i="5" s="1"/>
  <c r="B319" i="3"/>
  <c r="B301" i="3"/>
  <c r="G285" i="2"/>
  <c r="N285" i="2" s="1"/>
  <c r="F285" i="2"/>
  <c r="J285" i="2"/>
  <c r="I285" i="2"/>
  <c r="C285" i="2"/>
  <c r="E285" i="2" s="1"/>
  <c r="G277" i="2"/>
  <c r="N277" i="2" s="1"/>
  <c r="F277" i="2"/>
  <c r="J277" i="2"/>
  <c r="I277" i="2"/>
  <c r="C277" i="2"/>
  <c r="F267" i="2"/>
  <c r="I267" i="2"/>
  <c r="J267" i="2"/>
  <c r="C267" i="2"/>
  <c r="E267" i="2" s="1"/>
  <c r="G267" i="2"/>
  <c r="N267" i="2" s="1"/>
  <c r="G265" i="2"/>
  <c r="F265" i="2"/>
  <c r="J265" i="2"/>
  <c r="I265" i="2"/>
  <c r="C265" i="2"/>
  <c r="E265" i="2" s="1"/>
  <c r="N265" i="2"/>
  <c r="F260" i="2"/>
  <c r="J260" i="2"/>
  <c r="I260" i="2"/>
  <c r="C260" i="2"/>
  <c r="G260" i="2"/>
  <c r="N260" i="2"/>
  <c r="F284" i="2"/>
  <c r="J284" i="2"/>
  <c r="I284" i="2"/>
  <c r="C284" i="2"/>
  <c r="G284" i="2"/>
  <c r="N284" i="2" s="1"/>
  <c r="G276" i="2"/>
  <c r="N276" i="2" s="1"/>
  <c r="F276" i="2"/>
  <c r="J276" i="2"/>
  <c r="I276" i="2"/>
  <c r="C276" i="2"/>
  <c r="I264" i="2"/>
  <c r="C264" i="2"/>
  <c r="E264" i="2" s="1"/>
  <c r="G264" i="2"/>
  <c r="F264" i="2"/>
  <c r="J264" i="2"/>
  <c r="N264" i="2"/>
  <c r="B349" i="4"/>
  <c r="C349" i="4" s="1"/>
  <c r="B1084" i="4"/>
  <c r="C1084" i="4" s="1"/>
  <c r="B1330" i="4"/>
  <c r="C1330" i="4" s="1"/>
  <c r="B839" i="4"/>
  <c r="C839" i="4" s="1"/>
  <c r="B1576" i="4"/>
  <c r="C1576" i="4" s="1"/>
  <c r="B594" i="4"/>
  <c r="C594" i="4" s="1"/>
  <c r="C99" i="4"/>
  <c r="I287" i="2"/>
  <c r="C287" i="2"/>
  <c r="G287" i="2"/>
  <c r="N287" i="2" s="1"/>
  <c r="F287" i="2"/>
  <c r="J287" i="2"/>
  <c r="J279" i="2"/>
  <c r="I279" i="2"/>
  <c r="C279" i="2"/>
  <c r="G279" i="2"/>
  <c r="N279" i="2" s="1"/>
  <c r="F279" i="2"/>
  <c r="J274" i="2"/>
  <c r="I274" i="2"/>
  <c r="C274" i="2"/>
  <c r="G274" i="2"/>
  <c r="N274" i="2" s="1"/>
  <c r="F274" i="2"/>
  <c r="J269" i="2"/>
  <c r="C269" i="2"/>
  <c r="E269" i="2" s="1"/>
  <c r="G269" i="2"/>
  <c r="N269" i="2" s="1"/>
  <c r="F269" i="2"/>
  <c r="I269" i="2"/>
  <c r="D166" i="6"/>
  <c r="D204" i="6" s="1"/>
  <c r="D40" i="3"/>
  <c r="D40" i="8"/>
  <c r="D40" i="7"/>
  <c r="D42" i="2"/>
  <c r="D69" i="2"/>
  <c r="D71" i="2"/>
  <c r="D62" i="2"/>
  <c r="D60" i="2"/>
  <c r="D58" i="2"/>
  <c r="D56" i="2"/>
  <c r="D54" i="2"/>
  <c r="D52" i="2"/>
  <c r="D50" i="2"/>
  <c r="D48" i="2"/>
  <c r="D46" i="2"/>
  <c r="D68" i="2"/>
  <c r="D66" i="2"/>
  <c r="D64" i="2"/>
  <c r="D61" i="2"/>
  <c r="D59" i="2"/>
  <c r="D57" i="2"/>
  <c r="D55" i="2"/>
  <c r="D53" i="2"/>
  <c r="D51" i="2"/>
  <c r="D49" i="2"/>
  <c r="D47" i="2"/>
  <c r="D44" i="2"/>
  <c r="D45" i="2"/>
  <c r="D43" i="2"/>
  <c r="D72" i="2"/>
  <c r="D70" i="2"/>
  <c r="D67" i="2"/>
  <c r="D65" i="2"/>
  <c r="D63" i="2"/>
  <c r="D41" i="2"/>
  <c r="H166" i="6"/>
  <c r="H204" i="6" s="1"/>
  <c r="H40" i="3"/>
  <c r="J1364" i="4" s="1"/>
  <c r="B1440" i="4" s="1"/>
  <c r="H40" i="8"/>
  <c r="H40" i="7"/>
  <c r="H71" i="2"/>
  <c r="H62" i="2"/>
  <c r="H60" i="2"/>
  <c r="H58" i="2"/>
  <c r="H56" i="2"/>
  <c r="H54" i="2"/>
  <c r="H52" i="2"/>
  <c r="H50" i="2"/>
  <c r="H48" i="2"/>
  <c r="H46" i="2"/>
  <c r="H68" i="2"/>
  <c r="H66" i="2"/>
  <c r="H64" i="2"/>
  <c r="H61" i="2"/>
  <c r="H59" i="2"/>
  <c r="H57" i="2"/>
  <c r="H55" i="2"/>
  <c r="H53" i="2"/>
  <c r="H51" i="2"/>
  <c r="H49" i="2"/>
  <c r="H47" i="2"/>
  <c r="H44" i="2"/>
  <c r="H42" i="2"/>
  <c r="H69" i="2"/>
  <c r="H70" i="2"/>
  <c r="H67" i="2"/>
  <c r="H65" i="2"/>
  <c r="H63" i="2"/>
  <c r="H41" i="2"/>
  <c r="H45" i="2"/>
  <c r="H43" i="2"/>
  <c r="H72" i="2"/>
  <c r="E166" i="6"/>
  <c r="E204" i="6" s="1"/>
  <c r="E40" i="7"/>
  <c r="E41" i="2"/>
  <c r="E42" i="2"/>
  <c r="E44" i="2"/>
  <c r="E47" i="2"/>
  <c r="E49" i="2"/>
  <c r="E51" i="2"/>
  <c r="E53" i="2"/>
  <c r="E55" i="2"/>
  <c r="E57" i="2"/>
  <c r="E59" i="2"/>
  <c r="E61" i="2"/>
  <c r="E64" i="2"/>
  <c r="E66" i="2"/>
  <c r="E68" i="2"/>
  <c r="E72" i="2"/>
  <c r="E40" i="3"/>
  <c r="J628" i="4" s="1"/>
  <c r="B704" i="4" s="1"/>
  <c r="E40" i="8"/>
  <c r="E43" i="2"/>
  <c r="E70" i="2"/>
  <c r="E69" i="2"/>
  <c r="E67" i="2"/>
  <c r="E65" i="2"/>
  <c r="E63" i="2"/>
  <c r="E62" i="2"/>
  <c r="E60" i="2"/>
  <c r="E58" i="2"/>
  <c r="E56" i="2"/>
  <c r="E54" i="2"/>
  <c r="E52" i="2"/>
  <c r="E50" i="2"/>
  <c r="E48" i="2"/>
  <c r="E46" i="2"/>
  <c r="E45" i="2"/>
  <c r="E71" i="2"/>
  <c r="I166" i="6"/>
  <c r="I204" i="6" s="1"/>
  <c r="I40" i="7"/>
  <c r="I41" i="2"/>
  <c r="I42" i="2"/>
  <c r="I44" i="2"/>
  <c r="I47" i="2"/>
  <c r="I49" i="2"/>
  <c r="I51" i="2"/>
  <c r="I53" i="2"/>
  <c r="I55" i="2"/>
  <c r="I57" i="2"/>
  <c r="I59" i="2"/>
  <c r="I61" i="2"/>
  <c r="I64" i="2"/>
  <c r="I66" i="2"/>
  <c r="I68" i="2"/>
  <c r="I72" i="2"/>
  <c r="I40" i="3"/>
  <c r="J1610" i="4" s="1"/>
  <c r="B1686" i="4" s="1"/>
  <c r="I40" i="8"/>
  <c r="I70" i="2"/>
  <c r="I69" i="2"/>
  <c r="I67" i="2"/>
  <c r="I65" i="2"/>
  <c r="I63" i="2"/>
  <c r="I62" i="2"/>
  <c r="I60" i="2"/>
  <c r="I58" i="2"/>
  <c r="I56" i="2"/>
  <c r="I54" i="2"/>
  <c r="I52" i="2"/>
  <c r="I50" i="2"/>
  <c r="I48" i="2"/>
  <c r="I46" i="2"/>
  <c r="I45" i="2"/>
  <c r="I43" i="2"/>
  <c r="I71" i="2"/>
  <c r="B305" i="3"/>
  <c r="B322" i="3"/>
  <c r="F281" i="2"/>
  <c r="J281" i="2"/>
  <c r="I281" i="2"/>
  <c r="C281" i="2"/>
  <c r="E281" i="2" s="1"/>
  <c r="G281" i="2"/>
  <c r="N281" i="2" s="1"/>
  <c r="G271" i="2"/>
  <c r="N271" i="2" s="1"/>
  <c r="C271" i="2"/>
  <c r="E271" i="2" s="1"/>
  <c r="I271" i="2"/>
  <c r="F271" i="2"/>
  <c r="J271" i="2"/>
  <c r="G266" i="2"/>
  <c r="N266" i="2" s="1"/>
  <c r="F266" i="2"/>
  <c r="I266" i="2"/>
  <c r="J266" i="2"/>
  <c r="C266" i="2"/>
  <c r="F261" i="2"/>
  <c r="J261" i="2"/>
  <c r="I261" i="2"/>
  <c r="C261" i="2"/>
  <c r="G261" i="2"/>
  <c r="N261" i="2"/>
  <c r="L259" i="2"/>
  <c r="D335" i="8"/>
  <c r="M410" i="7"/>
  <c r="L91" i="7" s="1"/>
  <c r="B225" i="5" l="1"/>
  <c r="C225" i="5" s="1"/>
  <c r="D225" i="5" s="1"/>
  <c r="G336" i="8"/>
  <c r="H336" i="8" s="1"/>
  <c r="G320" i="8"/>
  <c r="H320" i="8" s="1"/>
  <c r="G315" i="8"/>
  <c r="H315" i="8" s="1"/>
  <c r="D325" i="8"/>
  <c r="G325" i="8" s="1"/>
  <c r="H325" i="8" s="1"/>
  <c r="I325" i="8" s="1"/>
  <c r="I50" i="1" s="1"/>
  <c r="G333" i="8"/>
  <c r="H333" i="8" s="1"/>
  <c r="B1337" i="4"/>
  <c r="C1337" i="4" s="1"/>
  <c r="F1337" i="4" s="1"/>
  <c r="I1337" i="4" s="1"/>
  <c r="L1337" i="4" s="1"/>
  <c r="C1411" i="4" s="1"/>
  <c r="L1410" i="4" s="1"/>
  <c r="B1091" i="4"/>
  <c r="C1091" i="4" s="1"/>
  <c r="F1091" i="4" s="1"/>
  <c r="I1091" i="4" s="1"/>
  <c r="L1091" i="4" s="1"/>
  <c r="C1165" i="4" s="1"/>
  <c r="L1164" i="4" s="1"/>
  <c r="B356" i="4"/>
  <c r="C356" i="4" s="1"/>
  <c r="D356" i="4" s="1"/>
  <c r="B1583" i="4"/>
  <c r="C1583" i="4" s="1"/>
  <c r="F1583" i="4" s="1"/>
  <c r="I1583" i="4" s="1"/>
  <c r="L1583" i="4" s="1"/>
  <c r="C1657" i="4" s="1"/>
  <c r="L1656" i="4" s="1"/>
  <c r="B601" i="4"/>
  <c r="C601" i="4" s="1"/>
  <c r="F601" i="4" s="1"/>
  <c r="I601" i="4" s="1"/>
  <c r="L601" i="4" s="1"/>
  <c r="C675" i="4" s="1"/>
  <c r="L674" i="4" s="1"/>
  <c r="C61" i="5"/>
  <c r="D61" i="5" s="1"/>
  <c r="E61" i="5" s="1"/>
  <c r="I315" i="8"/>
  <c r="J315" i="8" s="1"/>
  <c r="J40" i="1" s="1"/>
  <c r="C85" i="5"/>
  <c r="D85" i="5" s="1"/>
  <c r="E85" i="5" s="1"/>
  <c r="I320" i="8"/>
  <c r="I45" i="1" s="1"/>
  <c r="B227" i="5"/>
  <c r="C227" i="5" s="1"/>
  <c r="D227" i="5" s="1"/>
  <c r="F227" i="5" s="1"/>
  <c r="G328" i="8"/>
  <c r="H328" i="8" s="1"/>
  <c r="G323" i="8"/>
  <c r="H323" i="8" s="1"/>
  <c r="I323" i="8" s="1"/>
  <c r="J323" i="8" s="1"/>
  <c r="J48" i="1" s="1"/>
  <c r="X259" i="2"/>
  <c r="M3" i="2" s="1"/>
  <c r="M405" i="7"/>
  <c r="L86" i="7" s="1"/>
  <c r="D345" i="8"/>
  <c r="G345" i="8" s="1"/>
  <c r="H345" i="8" s="1"/>
  <c r="I345" i="8" s="1"/>
  <c r="J345" i="8" s="1"/>
  <c r="J70" i="1" s="1"/>
  <c r="M426" i="7"/>
  <c r="L107" i="7" s="1"/>
  <c r="L414" i="7"/>
  <c r="M406" i="7"/>
  <c r="L87" i="7" s="1"/>
  <c r="M409" i="7"/>
  <c r="L90" i="7" s="1"/>
  <c r="L406" i="7"/>
  <c r="G324" i="8"/>
  <c r="H324" i="8" s="1"/>
  <c r="I324" i="8" s="1"/>
  <c r="J324" i="8" s="1"/>
  <c r="J49" i="1" s="1"/>
  <c r="P263" i="2"/>
  <c r="X263" i="2" s="1"/>
  <c r="G326" i="8"/>
  <c r="H326" i="8" s="1"/>
  <c r="I326" i="8" s="1"/>
  <c r="I51" i="1" s="1"/>
  <c r="E279" i="2"/>
  <c r="L401" i="7"/>
  <c r="E287" i="2"/>
  <c r="E260" i="2"/>
  <c r="P260" i="2" s="1"/>
  <c r="C55" i="5"/>
  <c r="D55" i="5" s="1"/>
  <c r="E55" i="5" s="1"/>
  <c r="L260" i="2"/>
  <c r="L269" i="2"/>
  <c r="L278" i="2"/>
  <c r="E273" i="2"/>
  <c r="D338" i="8"/>
  <c r="G338" i="8" s="1"/>
  <c r="H338" i="8" s="1"/>
  <c r="G334" i="8"/>
  <c r="H334" i="8" s="1"/>
  <c r="G335" i="8"/>
  <c r="H335" i="8" s="1"/>
  <c r="D342" i="8"/>
  <c r="G342" i="8" s="1"/>
  <c r="H342" i="8" s="1"/>
  <c r="G343" i="8"/>
  <c r="H343" i="8" s="1"/>
  <c r="D340" i="8"/>
  <c r="G340" i="8" s="1"/>
  <c r="H340" i="8" s="1"/>
  <c r="D331" i="8"/>
  <c r="G331" i="8" s="1"/>
  <c r="H331" i="8" s="1"/>
  <c r="I331" i="8" s="1"/>
  <c r="I313" i="8"/>
  <c r="J313" i="8" s="1"/>
  <c r="J38" i="1" s="1"/>
  <c r="L83" i="2"/>
  <c r="H113" i="1" s="1"/>
  <c r="G113" i="1"/>
  <c r="I407" i="7"/>
  <c r="L407" i="7" s="1"/>
  <c r="E274" i="2"/>
  <c r="P262" i="2"/>
  <c r="X262" i="2" s="1"/>
  <c r="K146" i="8"/>
  <c r="I341" i="8" s="1"/>
  <c r="J341" i="8" s="1"/>
  <c r="J66" i="1" s="1"/>
  <c r="K147" i="8"/>
  <c r="P264" i="2"/>
  <c r="Q264" i="2" s="1"/>
  <c r="D337" i="8"/>
  <c r="G337" i="8" s="1"/>
  <c r="H337" i="8" s="1"/>
  <c r="G316" i="8"/>
  <c r="H316" i="8" s="1"/>
  <c r="I316" i="8" s="1"/>
  <c r="I41" i="1" s="1"/>
  <c r="E291" i="2"/>
  <c r="I403" i="7"/>
  <c r="L403" i="7" s="1"/>
  <c r="I421" i="7"/>
  <c r="L421" i="7" s="1"/>
  <c r="I422" i="7"/>
  <c r="L422" i="7" s="1"/>
  <c r="L405" i="7"/>
  <c r="I397" i="7"/>
  <c r="L397" i="7" s="1"/>
  <c r="I411" i="7"/>
  <c r="L411" i="7" s="1"/>
  <c r="I428" i="7"/>
  <c r="L428" i="7" s="1"/>
  <c r="I425" i="7"/>
  <c r="L425" i="7" s="1"/>
  <c r="I423" i="7"/>
  <c r="L423" i="7" s="1"/>
  <c r="I427" i="7"/>
  <c r="L427" i="7" s="1"/>
  <c r="I402" i="7"/>
  <c r="L402" i="7" s="1"/>
  <c r="I419" i="7"/>
  <c r="L419" i="7" s="1"/>
  <c r="M401" i="7"/>
  <c r="L82" i="7" s="1"/>
  <c r="L270" i="2"/>
  <c r="M270" i="2" s="1"/>
  <c r="O270" i="2" s="1"/>
  <c r="I415" i="7"/>
  <c r="L415" i="7" s="1"/>
  <c r="I400" i="7"/>
  <c r="L400" i="7" s="1"/>
  <c r="I399" i="7"/>
  <c r="L399" i="7" s="1"/>
  <c r="L409" i="7"/>
  <c r="I404" i="7"/>
  <c r="L404" i="7" s="1"/>
  <c r="I412" i="7"/>
  <c r="L412" i="7" s="1"/>
  <c r="I424" i="7"/>
  <c r="L424" i="7" s="1"/>
  <c r="I396" i="7"/>
  <c r="L396" i="7" s="1"/>
  <c r="I418" i="7"/>
  <c r="L418" i="7" s="1"/>
  <c r="I413" i="7"/>
  <c r="L413" i="7" s="1"/>
  <c r="M414" i="7"/>
  <c r="L95" i="7" s="1"/>
  <c r="I398" i="7"/>
  <c r="L398" i="7" s="1"/>
  <c r="I408" i="7"/>
  <c r="L408" i="7" s="1"/>
  <c r="L280" i="2"/>
  <c r="I420" i="7"/>
  <c r="L420" i="7" s="1"/>
  <c r="M362" i="2"/>
  <c r="O362" i="2" s="1"/>
  <c r="I416" i="7"/>
  <c r="L416" i="7" s="1"/>
  <c r="L426" i="7"/>
  <c r="S268" i="2"/>
  <c r="S338" i="2"/>
  <c r="P338" i="2" s="1"/>
  <c r="U336" i="2"/>
  <c r="K84" i="2" s="1"/>
  <c r="V336" i="2"/>
  <c r="Q337" i="2"/>
  <c r="R337" i="2" s="1"/>
  <c r="X337" i="2"/>
  <c r="M84" i="2"/>
  <c r="T336" i="2"/>
  <c r="W336" i="2" s="1"/>
  <c r="P267" i="2"/>
  <c r="Q267" i="2" s="1"/>
  <c r="D321" i="8"/>
  <c r="G321" i="8" s="1"/>
  <c r="H321" i="8" s="1"/>
  <c r="I321" i="8" s="1"/>
  <c r="L272" i="2"/>
  <c r="F74" i="5"/>
  <c r="E74" i="5"/>
  <c r="E209" i="5"/>
  <c r="F209" i="5"/>
  <c r="E220" i="5"/>
  <c r="F220" i="5"/>
  <c r="F376" i="4"/>
  <c r="I376" i="4" s="1"/>
  <c r="L376" i="4" s="1"/>
  <c r="C451" i="4" s="1"/>
  <c r="L450" i="4" s="1"/>
  <c r="D376" i="4"/>
  <c r="F1357" i="4"/>
  <c r="I1357" i="4" s="1"/>
  <c r="L1357" i="4" s="1"/>
  <c r="C1431" i="4" s="1"/>
  <c r="L1430" i="4" s="1"/>
  <c r="D1357" i="4"/>
  <c r="F1111" i="4"/>
  <c r="I1111" i="4" s="1"/>
  <c r="L1111" i="4" s="1"/>
  <c r="C1185" i="4" s="1"/>
  <c r="L1184" i="4" s="1"/>
  <c r="D1111" i="4"/>
  <c r="F126" i="4"/>
  <c r="I126" i="4" s="1"/>
  <c r="L126" i="4" s="1"/>
  <c r="C202" i="4" s="1"/>
  <c r="L201" i="4" s="1"/>
  <c r="D126" i="4"/>
  <c r="F610" i="4"/>
  <c r="I610" i="4" s="1"/>
  <c r="L610" i="4" s="1"/>
  <c r="C684" i="4" s="1"/>
  <c r="L683" i="4" s="1"/>
  <c r="D610" i="4"/>
  <c r="F1346" i="4"/>
  <c r="I1346" i="4" s="1"/>
  <c r="L1346" i="4" s="1"/>
  <c r="C1420" i="4" s="1"/>
  <c r="L1419" i="4" s="1"/>
  <c r="D1346" i="4"/>
  <c r="F1592" i="4"/>
  <c r="I1592" i="4" s="1"/>
  <c r="L1592" i="4" s="1"/>
  <c r="C1666" i="4" s="1"/>
  <c r="L1665" i="4" s="1"/>
  <c r="D1592" i="4"/>
  <c r="D591" i="4"/>
  <c r="F591" i="4"/>
  <c r="I591" i="4" s="1"/>
  <c r="L591" i="4" s="1"/>
  <c r="C665" i="4" s="1"/>
  <c r="L664" i="4" s="1"/>
  <c r="F836" i="4"/>
  <c r="I836" i="4" s="1"/>
  <c r="L836" i="4" s="1"/>
  <c r="C910" i="4" s="1"/>
  <c r="L909" i="4" s="1"/>
  <c r="D836" i="4"/>
  <c r="D1081" i="4"/>
  <c r="F1081" i="4"/>
  <c r="I1081" i="4" s="1"/>
  <c r="L1081" i="4" s="1"/>
  <c r="C1155" i="4" s="1"/>
  <c r="L1154" i="4" s="1"/>
  <c r="D1092" i="4"/>
  <c r="F1092" i="4"/>
  <c r="I1092" i="4" s="1"/>
  <c r="L1092" i="4" s="1"/>
  <c r="C1166" i="4" s="1"/>
  <c r="L1165" i="4" s="1"/>
  <c r="D357" i="4"/>
  <c r="F357" i="4"/>
  <c r="I357" i="4" s="1"/>
  <c r="L357" i="4" s="1"/>
  <c r="C432" i="4" s="1"/>
  <c r="L431" i="4" s="1"/>
  <c r="D107" i="4"/>
  <c r="F107" i="4"/>
  <c r="I107" i="4" s="1"/>
  <c r="L107" i="4" s="1"/>
  <c r="C183" i="4" s="1"/>
  <c r="L182" i="4" s="1"/>
  <c r="F602" i="4"/>
  <c r="I602" i="4" s="1"/>
  <c r="L602" i="4" s="1"/>
  <c r="C676" i="4" s="1"/>
  <c r="L675" i="4" s="1"/>
  <c r="D602" i="4"/>
  <c r="E239" i="5"/>
  <c r="F239" i="5"/>
  <c r="L261" i="2"/>
  <c r="E261" i="2"/>
  <c r="P261" i="2" s="1"/>
  <c r="E266" i="2"/>
  <c r="P266" i="2" s="1"/>
  <c r="X266" i="2" s="1"/>
  <c r="L279" i="2"/>
  <c r="L265" i="2"/>
  <c r="P265" i="2"/>
  <c r="X265" i="2" s="1"/>
  <c r="L285" i="2"/>
  <c r="L262" i="2"/>
  <c r="L282" i="2"/>
  <c r="E268" i="2"/>
  <c r="P268" i="2" s="1"/>
  <c r="X268" i="2" s="1"/>
  <c r="L286" i="2"/>
  <c r="E280" i="2"/>
  <c r="F228" i="5"/>
  <c r="E228" i="5"/>
  <c r="F66" i="5"/>
  <c r="E66" i="5"/>
  <c r="F866" i="4"/>
  <c r="I866" i="4" s="1"/>
  <c r="L866" i="4" s="1"/>
  <c r="C940" i="4" s="1"/>
  <c r="L939" i="4" s="1"/>
  <c r="D866" i="4"/>
  <c r="F621" i="4"/>
  <c r="I621" i="4" s="1"/>
  <c r="L621" i="4" s="1"/>
  <c r="C695" i="4" s="1"/>
  <c r="L694" i="4" s="1"/>
  <c r="D621" i="4"/>
  <c r="F1603" i="4"/>
  <c r="I1603" i="4" s="1"/>
  <c r="L1603" i="4" s="1"/>
  <c r="C1677" i="4" s="1"/>
  <c r="L1676" i="4" s="1"/>
  <c r="D1603" i="4"/>
  <c r="D1100" i="4"/>
  <c r="F1100" i="4"/>
  <c r="I1100" i="4" s="1"/>
  <c r="L1100" i="4" s="1"/>
  <c r="C1174" i="4" s="1"/>
  <c r="L1173" i="4" s="1"/>
  <c r="D115" i="4"/>
  <c r="F115" i="4"/>
  <c r="I115" i="4" s="1"/>
  <c r="L115" i="4" s="1"/>
  <c r="C191" i="4" s="1"/>
  <c r="L190" i="4" s="1"/>
  <c r="F855" i="4"/>
  <c r="I855" i="4" s="1"/>
  <c r="L855" i="4" s="1"/>
  <c r="C929" i="4" s="1"/>
  <c r="L928" i="4" s="1"/>
  <c r="D855" i="4"/>
  <c r="D365" i="4"/>
  <c r="F365" i="4"/>
  <c r="I365" i="4" s="1"/>
  <c r="L365" i="4" s="1"/>
  <c r="C440" i="4" s="1"/>
  <c r="L439" i="4" s="1"/>
  <c r="D1327" i="4"/>
  <c r="F1327" i="4"/>
  <c r="I1327" i="4" s="1"/>
  <c r="L1327" i="4" s="1"/>
  <c r="C1401" i="4" s="1"/>
  <c r="L1400" i="4" s="1"/>
  <c r="D96" i="4"/>
  <c r="F96" i="4"/>
  <c r="I96" i="4" s="1"/>
  <c r="L96" i="4" s="1"/>
  <c r="C172" i="4" s="1"/>
  <c r="L171" i="4" s="1"/>
  <c r="F1573" i="4"/>
  <c r="I1573" i="4" s="1"/>
  <c r="L1573" i="4" s="1"/>
  <c r="C1647" i="4" s="1"/>
  <c r="L1646" i="4" s="1"/>
  <c r="D1573" i="4"/>
  <c r="D346" i="4"/>
  <c r="F346" i="4"/>
  <c r="I346" i="4" s="1"/>
  <c r="L346" i="4" s="1"/>
  <c r="C421" i="4" s="1"/>
  <c r="L420" i="4" s="1"/>
  <c r="D847" i="4"/>
  <c r="F847" i="4"/>
  <c r="I847" i="4" s="1"/>
  <c r="L847" i="4" s="1"/>
  <c r="C921" i="4" s="1"/>
  <c r="L920" i="4" s="1"/>
  <c r="D1584" i="4"/>
  <c r="F1584" i="4"/>
  <c r="I1584" i="4" s="1"/>
  <c r="L1584" i="4" s="1"/>
  <c r="C1658" i="4" s="1"/>
  <c r="L1657" i="4" s="1"/>
  <c r="F1338" i="4"/>
  <c r="I1338" i="4" s="1"/>
  <c r="L1338" i="4" s="1"/>
  <c r="C1412" i="4" s="1"/>
  <c r="L1411" i="4" s="1"/>
  <c r="D1338" i="4"/>
  <c r="L291" i="2"/>
  <c r="I48" i="1"/>
  <c r="J351" i="7"/>
  <c r="K351" i="7" s="1"/>
  <c r="F351" i="7"/>
  <c r="K28" i="7" s="1"/>
  <c r="G351" i="7"/>
  <c r="H351" i="7" s="1"/>
  <c r="J345" i="7"/>
  <c r="K345" i="7" s="1"/>
  <c r="F345" i="7"/>
  <c r="K22" i="7" s="1"/>
  <c r="G345" i="7"/>
  <c r="H345" i="7" s="1"/>
  <c r="G343" i="7"/>
  <c r="H343" i="7" s="1"/>
  <c r="J343" i="7"/>
  <c r="K343" i="7" s="1"/>
  <c r="F343" i="7"/>
  <c r="K20" i="7" s="1"/>
  <c r="G344" i="7"/>
  <c r="H344" i="7" s="1"/>
  <c r="J344" i="7"/>
  <c r="K344" i="7" s="1"/>
  <c r="F344" i="7"/>
  <c r="K21" i="7" s="1"/>
  <c r="G340" i="7"/>
  <c r="H340" i="7" s="1"/>
  <c r="J340" i="7"/>
  <c r="K340" i="7" s="1"/>
  <c r="F340" i="7"/>
  <c r="K17" i="7" s="1"/>
  <c r="I49" i="1"/>
  <c r="J327" i="7"/>
  <c r="K327" i="7" s="1"/>
  <c r="F327" i="7"/>
  <c r="K4" i="7" s="1"/>
  <c r="G327" i="7"/>
  <c r="H327" i="7" s="1"/>
  <c r="J342" i="7"/>
  <c r="K342" i="7" s="1"/>
  <c r="F342" i="7"/>
  <c r="K19" i="7" s="1"/>
  <c r="G342" i="7"/>
  <c r="H342" i="7" s="1"/>
  <c r="G297" i="3"/>
  <c r="M8" i="3" s="1"/>
  <c r="K8" i="3"/>
  <c r="L8" i="3" s="1"/>
  <c r="G332" i="7"/>
  <c r="H332" i="7" s="1"/>
  <c r="J332" i="7"/>
  <c r="K332" i="7" s="1"/>
  <c r="F332" i="7"/>
  <c r="K9" i="7" s="1"/>
  <c r="G335" i="7"/>
  <c r="H335" i="7" s="1"/>
  <c r="J335" i="7"/>
  <c r="K335" i="7" s="1"/>
  <c r="F335" i="7"/>
  <c r="K12" i="7" s="1"/>
  <c r="G350" i="7"/>
  <c r="H350" i="7" s="1"/>
  <c r="J350" i="7"/>
  <c r="K350" i="7" s="1"/>
  <c r="F350" i="7"/>
  <c r="K27" i="7" s="1"/>
  <c r="K266" i="2"/>
  <c r="K281" i="2"/>
  <c r="I43" i="7"/>
  <c r="I169" i="6"/>
  <c r="I207" i="6" s="1"/>
  <c r="I43" i="3"/>
  <c r="J1613" i="4" s="1"/>
  <c r="B1689" i="4" s="1"/>
  <c r="I43" i="8"/>
  <c r="I46" i="7"/>
  <c r="I172" i="6"/>
  <c r="I210" i="6" s="1"/>
  <c r="I46" i="3"/>
  <c r="J1616" i="4" s="1"/>
  <c r="B1692" i="4" s="1"/>
  <c r="I46" i="8"/>
  <c r="I50" i="7"/>
  <c r="I176" i="6"/>
  <c r="I214" i="6" s="1"/>
  <c r="I50" i="3"/>
  <c r="J1620" i="4" s="1"/>
  <c r="B1696" i="4" s="1"/>
  <c r="I50" i="8"/>
  <c r="I54" i="7"/>
  <c r="I180" i="6"/>
  <c r="I218" i="6" s="1"/>
  <c r="I54" i="3"/>
  <c r="J1624" i="4" s="1"/>
  <c r="B1700" i="4" s="1"/>
  <c r="I54" i="8"/>
  <c r="I58" i="7"/>
  <c r="I184" i="6"/>
  <c r="I222" i="6" s="1"/>
  <c r="I58" i="3"/>
  <c r="J1628" i="4" s="1"/>
  <c r="B1704" i="4" s="1"/>
  <c r="I58" i="8"/>
  <c r="I62" i="7"/>
  <c r="I188" i="6"/>
  <c r="I226" i="6" s="1"/>
  <c r="I62" i="3"/>
  <c r="J1632" i="4" s="1"/>
  <c r="B1708" i="4" s="1"/>
  <c r="I62" i="8"/>
  <c r="I65" i="7"/>
  <c r="I191" i="6"/>
  <c r="I229" i="6" s="1"/>
  <c r="I65" i="3"/>
  <c r="J1635" i="4" s="1"/>
  <c r="B1711" i="4" s="1"/>
  <c r="I65" i="8"/>
  <c r="I69" i="7"/>
  <c r="I195" i="6"/>
  <c r="I233" i="6" s="1"/>
  <c r="I69" i="3"/>
  <c r="J1639" i="4" s="1"/>
  <c r="B1715" i="4" s="1"/>
  <c r="I69" i="8"/>
  <c r="I72" i="3"/>
  <c r="J1642" i="4" s="1"/>
  <c r="B1718" i="4" s="1"/>
  <c r="I72" i="8"/>
  <c r="I72" i="7"/>
  <c r="I198" i="6"/>
  <c r="I236" i="6" s="1"/>
  <c r="I66" i="7"/>
  <c r="I192" i="6"/>
  <c r="I230" i="6" s="1"/>
  <c r="I66" i="3"/>
  <c r="J1636" i="4" s="1"/>
  <c r="B1712" i="4" s="1"/>
  <c r="I66" i="8"/>
  <c r="I61" i="7"/>
  <c r="I187" i="6"/>
  <c r="I225" i="6" s="1"/>
  <c r="I61" i="3"/>
  <c r="J1631" i="4" s="1"/>
  <c r="B1707" i="4" s="1"/>
  <c r="I61" i="8"/>
  <c r="I57" i="7"/>
  <c r="I183" i="6"/>
  <c r="I221" i="6" s="1"/>
  <c r="I57" i="3"/>
  <c r="J1627" i="4" s="1"/>
  <c r="B1703" i="4" s="1"/>
  <c r="I57" i="8"/>
  <c r="I53" i="7"/>
  <c r="I179" i="6"/>
  <c r="I217" i="6" s="1"/>
  <c r="I53" i="3"/>
  <c r="J1623" i="4" s="1"/>
  <c r="B1699" i="4" s="1"/>
  <c r="I53" i="8"/>
  <c r="I49" i="7"/>
  <c r="I175" i="6"/>
  <c r="I213" i="6" s="1"/>
  <c r="I49" i="3"/>
  <c r="J1619" i="4" s="1"/>
  <c r="B1695" i="4" s="1"/>
  <c r="I49" i="8"/>
  <c r="I44" i="7"/>
  <c r="I170" i="6"/>
  <c r="I208" i="6" s="1"/>
  <c r="I44" i="3"/>
  <c r="J1614" i="4" s="1"/>
  <c r="B1690" i="4" s="1"/>
  <c r="I44" i="8"/>
  <c r="I41" i="7"/>
  <c r="I167" i="6"/>
  <c r="I205" i="6" s="1"/>
  <c r="I41" i="3"/>
  <c r="J1611" i="4" s="1"/>
  <c r="B1687" i="4" s="1"/>
  <c r="I41" i="8"/>
  <c r="E45" i="3"/>
  <c r="J633" i="4" s="1"/>
  <c r="B709" i="4" s="1"/>
  <c r="E45" i="8"/>
  <c r="E45" i="7"/>
  <c r="E171" i="6"/>
  <c r="E209" i="6" s="1"/>
  <c r="E48" i="3"/>
  <c r="J636" i="4" s="1"/>
  <c r="B712" i="4" s="1"/>
  <c r="E48" i="8"/>
  <c r="E48" i="7"/>
  <c r="E174" i="6"/>
  <c r="E212" i="6" s="1"/>
  <c r="E52" i="3"/>
  <c r="J640" i="4" s="1"/>
  <c r="B716" i="4" s="1"/>
  <c r="E52" i="8"/>
  <c r="E52" i="7"/>
  <c r="E178" i="6"/>
  <c r="E216" i="6" s="1"/>
  <c r="E56" i="3"/>
  <c r="J644" i="4" s="1"/>
  <c r="B720" i="4" s="1"/>
  <c r="E56" i="8"/>
  <c r="E56" i="7"/>
  <c r="E182" i="6"/>
  <c r="E220" i="6" s="1"/>
  <c r="E60" i="3"/>
  <c r="J648" i="4" s="1"/>
  <c r="B724" i="4" s="1"/>
  <c r="E60" i="8"/>
  <c r="E60" i="7"/>
  <c r="E186" i="6"/>
  <c r="E224" i="6" s="1"/>
  <c r="E63" i="3"/>
  <c r="J651" i="4" s="1"/>
  <c r="B727" i="4" s="1"/>
  <c r="E63" i="8"/>
  <c r="E63" i="7"/>
  <c r="E189" i="6"/>
  <c r="E227" i="6" s="1"/>
  <c r="E67" i="3"/>
  <c r="J655" i="4" s="1"/>
  <c r="B731" i="4" s="1"/>
  <c r="E67" i="8"/>
  <c r="E67" i="7"/>
  <c r="E193" i="6"/>
  <c r="E231" i="6" s="1"/>
  <c r="E70" i="3"/>
  <c r="J658" i="4" s="1"/>
  <c r="B734" i="4" s="1"/>
  <c r="E70" i="8"/>
  <c r="E70" i="7"/>
  <c r="E196" i="6"/>
  <c r="E234" i="6" s="1"/>
  <c r="E72" i="7"/>
  <c r="E72" i="3"/>
  <c r="J660" i="4" s="1"/>
  <c r="B736" i="4" s="1"/>
  <c r="E72" i="8"/>
  <c r="E198" i="6"/>
  <c r="E236" i="6" s="1"/>
  <c r="E66" i="7"/>
  <c r="E192" i="6"/>
  <c r="E230" i="6" s="1"/>
  <c r="E66" i="3"/>
  <c r="J654" i="4" s="1"/>
  <c r="B730" i="4" s="1"/>
  <c r="E66" i="8"/>
  <c r="E61" i="7"/>
  <c r="E187" i="6"/>
  <c r="E225" i="6" s="1"/>
  <c r="E61" i="3"/>
  <c r="J649" i="4" s="1"/>
  <c r="B725" i="4" s="1"/>
  <c r="E61" i="8"/>
  <c r="E57" i="7"/>
  <c r="E183" i="6"/>
  <c r="E221" i="6" s="1"/>
  <c r="E57" i="3"/>
  <c r="J645" i="4" s="1"/>
  <c r="B721" i="4" s="1"/>
  <c r="E57" i="8"/>
  <c r="E53" i="7"/>
  <c r="E179" i="6"/>
  <c r="E217" i="6" s="1"/>
  <c r="E53" i="3"/>
  <c r="J641" i="4" s="1"/>
  <c r="B717" i="4" s="1"/>
  <c r="E53" i="8"/>
  <c r="E49" i="7"/>
  <c r="E175" i="6"/>
  <c r="E213" i="6" s="1"/>
  <c r="E49" i="3"/>
  <c r="J637" i="4" s="1"/>
  <c r="B713" i="4" s="1"/>
  <c r="E49" i="8"/>
  <c r="E44" i="7"/>
  <c r="E170" i="6"/>
  <c r="E208" i="6" s="1"/>
  <c r="E44" i="3"/>
  <c r="J632" i="4" s="1"/>
  <c r="B708" i="4" s="1"/>
  <c r="E44" i="8"/>
  <c r="E41" i="7"/>
  <c r="E167" i="6"/>
  <c r="E205" i="6" s="1"/>
  <c r="E41" i="3"/>
  <c r="J629" i="4" s="1"/>
  <c r="B705" i="4" s="1"/>
  <c r="E41" i="8"/>
  <c r="H43" i="7"/>
  <c r="H169" i="6"/>
  <c r="H207" i="6" s="1"/>
  <c r="H43" i="3"/>
  <c r="J1367" i="4" s="1"/>
  <c r="B1443" i="4" s="1"/>
  <c r="H43" i="8"/>
  <c r="H41" i="7"/>
  <c r="H167" i="6"/>
  <c r="H41" i="3"/>
  <c r="H41" i="8"/>
  <c r="H65" i="7"/>
  <c r="H191" i="6"/>
  <c r="H229" i="6" s="1"/>
  <c r="H65" i="3"/>
  <c r="J1389" i="4" s="1"/>
  <c r="B1465" i="4" s="1"/>
  <c r="H65" i="8"/>
  <c r="H70" i="7"/>
  <c r="H70" i="3"/>
  <c r="J1394" i="4" s="1"/>
  <c r="B1470" i="4" s="1"/>
  <c r="H70" i="8"/>
  <c r="H196" i="6"/>
  <c r="H234" i="6" s="1"/>
  <c r="H42" i="7"/>
  <c r="H168" i="6"/>
  <c r="H206" i="6" s="1"/>
  <c r="H42" i="3"/>
  <c r="J1366" i="4" s="1"/>
  <c r="B1442" i="4" s="1"/>
  <c r="H42" i="8"/>
  <c r="H47" i="7"/>
  <c r="H173" i="6"/>
  <c r="H211" i="6" s="1"/>
  <c r="H47" i="3"/>
  <c r="J1371" i="4" s="1"/>
  <c r="B1447" i="4" s="1"/>
  <c r="H47" i="8"/>
  <c r="H51" i="7"/>
  <c r="H177" i="6"/>
  <c r="H215" i="6" s="1"/>
  <c r="H51" i="3"/>
  <c r="J1375" i="4" s="1"/>
  <c r="B1451" i="4" s="1"/>
  <c r="H51" i="8"/>
  <c r="H55" i="7"/>
  <c r="H181" i="6"/>
  <c r="H219" i="6" s="1"/>
  <c r="H55" i="3"/>
  <c r="J1379" i="4" s="1"/>
  <c r="B1455" i="4" s="1"/>
  <c r="H55" i="8"/>
  <c r="H59" i="7"/>
  <c r="H185" i="6"/>
  <c r="H223" i="6" s="1"/>
  <c r="H59" i="3"/>
  <c r="J1383" i="4" s="1"/>
  <c r="B1459" i="4" s="1"/>
  <c r="H59" i="8"/>
  <c r="H64" i="7"/>
  <c r="H190" i="6"/>
  <c r="H228" i="6" s="1"/>
  <c r="H64" i="3"/>
  <c r="J1388" i="4" s="1"/>
  <c r="B1464" i="4" s="1"/>
  <c r="H64" i="8"/>
  <c r="H68" i="7"/>
  <c r="H194" i="6"/>
  <c r="H232" i="6" s="1"/>
  <c r="H68" i="3"/>
  <c r="J1392" i="4" s="1"/>
  <c r="B1468" i="4" s="1"/>
  <c r="H68" i="8"/>
  <c r="H48" i="3"/>
  <c r="J1372" i="4" s="1"/>
  <c r="B1448" i="4" s="1"/>
  <c r="H48" i="8"/>
  <c r="H48" i="7"/>
  <c r="H174" i="6"/>
  <c r="H212" i="6" s="1"/>
  <c r="H52" i="3"/>
  <c r="J1376" i="4" s="1"/>
  <c r="B1452" i="4" s="1"/>
  <c r="H52" i="8"/>
  <c r="H52" i="7"/>
  <c r="H178" i="6"/>
  <c r="H216" i="6" s="1"/>
  <c r="H56" i="3"/>
  <c r="J1380" i="4" s="1"/>
  <c r="B1456" i="4" s="1"/>
  <c r="H56" i="8"/>
  <c r="H56" i="7"/>
  <c r="H182" i="6"/>
  <c r="H220" i="6" s="1"/>
  <c r="H60" i="3"/>
  <c r="J1384" i="4" s="1"/>
  <c r="B1460" i="4" s="1"/>
  <c r="H60" i="8"/>
  <c r="H60" i="7"/>
  <c r="H186" i="6"/>
  <c r="H224" i="6" s="1"/>
  <c r="H71" i="7"/>
  <c r="H71" i="3"/>
  <c r="J1395" i="4" s="1"/>
  <c r="B1471" i="4" s="1"/>
  <c r="H71" i="8"/>
  <c r="H197" i="6"/>
  <c r="H235" i="6" s="1"/>
  <c r="D63" i="7"/>
  <c r="D189" i="6"/>
  <c r="D63" i="3"/>
  <c r="D63" i="8"/>
  <c r="D67" i="7"/>
  <c r="D193" i="6"/>
  <c r="D67" i="3"/>
  <c r="D67" i="8"/>
  <c r="D72" i="3"/>
  <c r="D72" i="8"/>
  <c r="D72" i="7"/>
  <c r="D198" i="6"/>
  <c r="D236" i="6" s="1"/>
  <c r="D45" i="7"/>
  <c r="D171" i="6"/>
  <c r="D45" i="3"/>
  <c r="D45" i="8"/>
  <c r="D47" i="3"/>
  <c r="D47" i="8"/>
  <c r="D47" i="7"/>
  <c r="D173" i="6"/>
  <c r="D51" i="3"/>
  <c r="D51" i="8"/>
  <c r="D51" i="7"/>
  <c r="D177" i="6"/>
  <c r="D55" i="3"/>
  <c r="D55" i="8"/>
  <c r="D55" i="7"/>
  <c r="D181" i="6"/>
  <c r="D59" i="3"/>
  <c r="D59" i="8"/>
  <c r="D59" i="7"/>
  <c r="D185" i="6"/>
  <c r="D64" i="3"/>
  <c r="D64" i="8"/>
  <c r="D64" i="7"/>
  <c r="D190" i="6"/>
  <c r="D68" i="3"/>
  <c r="D68" i="8"/>
  <c r="D68" i="7"/>
  <c r="D194" i="6"/>
  <c r="D48" i="3"/>
  <c r="D48" i="8"/>
  <c r="D48" i="7"/>
  <c r="D174" i="6"/>
  <c r="D52" i="3"/>
  <c r="D52" i="8"/>
  <c r="D52" i="7"/>
  <c r="D178" i="6"/>
  <c r="D56" i="3"/>
  <c r="D56" i="8"/>
  <c r="D56" i="7"/>
  <c r="D182" i="6"/>
  <c r="D60" i="3"/>
  <c r="D60" i="8"/>
  <c r="D60" i="7"/>
  <c r="D186" i="6"/>
  <c r="D71" i="3"/>
  <c r="D71" i="8"/>
  <c r="D71" i="7"/>
  <c r="D197" i="6"/>
  <c r="D235" i="6" s="1"/>
  <c r="D42" i="7"/>
  <c r="D168" i="6"/>
  <c r="D206" i="6" s="1"/>
  <c r="D42" i="3"/>
  <c r="D42" i="8"/>
  <c r="K274" i="2"/>
  <c r="K287" i="2"/>
  <c r="D594" i="4"/>
  <c r="F594" i="4"/>
  <c r="I594" i="4" s="1"/>
  <c r="L594" i="4" s="1"/>
  <c r="C668" i="4" s="1"/>
  <c r="L667" i="4" s="1"/>
  <c r="D839" i="4"/>
  <c r="F839" i="4"/>
  <c r="I839" i="4" s="1"/>
  <c r="L839" i="4" s="1"/>
  <c r="C913" i="4" s="1"/>
  <c r="L912" i="4" s="1"/>
  <c r="D1084" i="4"/>
  <c r="F1084" i="4"/>
  <c r="I1084" i="4" s="1"/>
  <c r="L1084" i="4" s="1"/>
  <c r="C1158" i="4" s="1"/>
  <c r="L1157" i="4" s="1"/>
  <c r="K264" i="2"/>
  <c r="K284" i="2"/>
  <c r="K265" i="2"/>
  <c r="K285" i="2"/>
  <c r="C319" i="3"/>
  <c r="D319" i="3" s="1"/>
  <c r="E319" i="3" s="1"/>
  <c r="F319" i="3" s="1"/>
  <c r="F226" i="5"/>
  <c r="E226" i="5"/>
  <c r="F213" i="5"/>
  <c r="E213" i="5"/>
  <c r="E57" i="5"/>
  <c r="F57" i="5"/>
  <c r="E210" i="5"/>
  <c r="F210" i="5"/>
  <c r="F225" i="5"/>
  <c r="E225" i="5"/>
  <c r="E63" i="5"/>
  <c r="F63" i="5"/>
  <c r="B377" i="4"/>
  <c r="C377" i="4" s="1"/>
  <c r="B1604" i="4"/>
  <c r="C1604" i="4" s="1"/>
  <c r="B1358" i="4"/>
  <c r="C1358" i="4" s="1"/>
  <c r="B1112" i="4"/>
  <c r="C1112" i="4" s="1"/>
  <c r="B867" i="4"/>
  <c r="C867" i="4" s="1"/>
  <c r="B622" i="4"/>
  <c r="C622" i="4" s="1"/>
  <c r="C127" i="4"/>
  <c r="B372" i="4"/>
  <c r="C372" i="4" s="1"/>
  <c r="C122" i="4"/>
  <c r="B1599" i="4"/>
  <c r="C1599" i="4" s="1"/>
  <c r="B1353" i="4"/>
  <c r="C1353" i="4" s="1"/>
  <c r="B617" i="4"/>
  <c r="C617" i="4" s="1"/>
  <c r="B1107" i="4"/>
  <c r="C1107" i="4" s="1"/>
  <c r="B862" i="4"/>
  <c r="C862" i="4" s="1"/>
  <c r="B360" i="4"/>
  <c r="C360" i="4" s="1"/>
  <c r="B850" i="4"/>
  <c r="C850" i="4" s="1"/>
  <c r="B1341" i="4"/>
  <c r="C1341" i="4" s="1"/>
  <c r="B605" i="4"/>
  <c r="C605" i="4" s="1"/>
  <c r="B1587" i="4"/>
  <c r="C1587" i="4" s="1"/>
  <c r="B1095" i="4"/>
  <c r="C1095" i="4" s="1"/>
  <c r="C110" i="4"/>
  <c r="B361" i="4"/>
  <c r="C361" i="4" s="1"/>
  <c r="B1096" i="4"/>
  <c r="C1096" i="4" s="1"/>
  <c r="B1342" i="4"/>
  <c r="C1342" i="4" s="1"/>
  <c r="B851" i="4"/>
  <c r="C851" i="4" s="1"/>
  <c r="C111" i="4"/>
  <c r="B1588" i="4"/>
  <c r="C1588" i="4" s="1"/>
  <c r="B606" i="4"/>
  <c r="C606" i="4" s="1"/>
  <c r="C303" i="3"/>
  <c r="D303" i="3" s="1"/>
  <c r="E303" i="3" s="1"/>
  <c r="F303" i="3" s="1"/>
  <c r="K282" i="2"/>
  <c r="C323" i="3"/>
  <c r="D323" i="3" s="1"/>
  <c r="E323" i="3" s="1"/>
  <c r="F323" i="3" s="1"/>
  <c r="K268" i="2"/>
  <c r="C296" i="3"/>
  <c r="D296" i="3" s="1"/>
  <c r="E296" i="3" s="1"/>
  <c r="F296" i="3" s="1"/>
  <c r="F842" i="4"/>
  <c r="I842" i="4" s="1"/>
  <c r="L842" i="4" s="1"/>
  <c r="C916" i="4" s="1"/>
  <c r="L915" i="4" s="1"/>
  <c r="D842" i="4"/>
  <c r="F597" i="4"/>
  <c r="I597" i="4" s="1"/>
  <c r="L597" i="4" s="1"/>
  <c r="C671" i="4" s="1"/>
  <c r="L670" i="4" s="1"/>
  <c r="D597" i="4"/>
  <c r="F1333" i="4"/>
  <c r="I1333" i="4" s="1"/>
  <c r="L1333" i="4" s="1"/>
  <c r="C1407" i="4" s="1"/>
  <c r="L1406" i="4" s="1"/>
  <c r="D1333" i="4"/>
  <c r="D352" i="4"/>
  <c r="F352" i="4"/>
  <c r="I352" i="4" s="1"/>
  <c r="L352" i="4" s="1"/>
  <c r="C427" i="4" s="1"/>
  <c r="L426" i="4" s="1"/>
  <c r="D101" i="4"/>
  <c r="F101" i="4"/>
  <c r="I101" i="4" s="1"/>
  <c r="L101" i="4" s="1"/>
  <c r="C177" i="4" s="1"/>
  <c r="L176" i="4" s="1"/>
  <c r="D841" i="4"/>
  <c r="F841" i="4"/>
  <c r="I841" i="4" s="1"/>
  <c r="L841" i="4" s="1"/>
  <c r="C915" i="4" s="1"/>
  <c r="L914" i="4" s="1"/>
  <c r="F1578" i="4"/>
  <c r="I1578" i="4" s="1"/>
  <c r="L1578" i="4" s="1"/>
  <c r="C1652" i="4" s="1"/>
  <c r="L1651" i="4" s="1"/>
  <c r="D1578" i="4"/>
  <c r="D364" i="4"/>
  <c r="F364" i="4"/>
  <c r="I364" i="4" s="1"/>
  <c r="L364" i="4" s="1"/>
  <c r="D114" i="4"/>
  <c r="F114" i="4"/>
  <c r="I114" i="4" s="1"/>
  <c r="L114" i="4" s="1"/>
  <c r="C190" i="4" s="1"/>
  <c r="L189" i="4" s="1"/>
  <c r="D854" i="4"/>
  <c r="F854" i="4"/>
  <c r="I854" i="4" s="1"/>
  <c r="L854" i="4" s="1"/>
  <c r="C928" i="4" s="1"/>
  <c r="L927" i="4" s="1"/>
  <c r="F609" i="4"/>
  <c r="I609" i="4" s="1"/>
  <c r="L609" i="4" s="1"/>
  <c r="C683" i="4" s="1"/>
  <c r="L682" i="4" s="1"/>
  <c r="D609" i="4"/>
  <c r="D843" i="4"/>
  <c r="F843" i="4"/>
  <c r="I843" i="4" s="1"/>
  <c r="L843" i="4" s="1"/>
  <c r="C917" i="4" s="1"/>
  <c r="L916" i="4" s="1"/>
  <c r="F1580" i="4"/>
  <c r="I1580" i="4" s="1"/>
  <c r="L1580" i="4" s="1"/>
  <c r="C1654" i="4" s="1"/>
  <c r="L1653" i="4" s="1"/>
  <c r="D1580" i="4"/>
  <c r="D1088" i="4"/>
  <c r="F1088" i="4"/>
  <c r="I1088" i="4" s="1"/>
  <c r="L1088" i="4" s="1"/>
  <c r="C1162" i="4" s="1"/>
  <c r="L1161" i="4" s="1"/>
  <c r="F1334" i="4"/>
  <c r="I1334" i="4" s="1"/>
  <c r="L1334" i="4" s="1"/>
  <c r="D1334" i="4"/>
  <c r="D1094" i="4"/>
  <c r="F1094" i="4"/>
  <c r="I1094" i="4" s="1"/>
  <c r="L1094" i="4" s="1"/>
  <c r="C1168" i="4" s="1"/>
  <c r="L1167" i="4" s="1"/>
  <c r="F1586" i="4"/>
  <c r="I1586" i="4" s="1"/>
  <c r="L1586" i="4" s="1"/>
  <c r="C1660" i="4" s="1"/>
  <c r="L1659" i="4" s="1"/>
  <c r="D1586" i="4"/>
  <c r="F109" i="4"/>
  <c r="I109" i="4" s="1"/>
  <c r="L109" i="4" s="1"/>
  <c r="C185" i="4" s="1"/>
  <c r="L184" i="4" s="1"/>
  <c r="D109" i="4"/>
  <c r="B238" i="5"/>
  <c r="C238" i="5" s="1"/>
  <c r="D238" i="5" s="1"/>
  <c r="C84" i="5"/>
  <c r="D84" i="5" s="1"/>
  <c r="B234" i="5"/>
  <c r="C234" i="5" s="1"/>
  <c r="D234" i="5" s="1"/>
  <c r="C80" i="5"/>
  <c r="D80" i="5" s="1"/>
  <c r="B231" i="5"/>
  <c r="C231" i="5" s="1"/>
  <c r="D231" i="5" s="1"/>
  <c r="C77" i="5"/>
  <c r="D77" i="5" s="1"/>
  <c r="B229" i="5"/>
  <c r="C229" i="5" s="1"/>
  <c r="D229" i="5" s="1"/>
  <c r="C75" i="5"/>
  <c r="D75" i="5" s="1"/>
  <c r="B236" i="5"/>
  <c r="C236" i="5" s="1"/>
  <c r="D236" i="5" s="1"/>
  <c r="C82" i="5"/>
  <c r="D82" i="5" s="1"/>
  <c r="B233" i="5"/>
  <c r="C233" i="5" s="1"/>
  <c r="D233" i="5" s="1"/>
  <c r="C79" i="5"/>
  <c r="D79" i="5" s="1"/>
  <c r="C76" i="5"/>
  <c r="D76" i="5" s="1"/>
  <c r="B230" i="5"/>
  <c r="C230" i="5" s="1"/>
  <c r="D230" i="5" s="1"/>
  <c r="B241" i="5"/>
  <c r="C241" i="5" s="1"/>
  <c r="D241" i="5" s="1"/>
  <c r="C87" i="5"/>
  <c r="D87" i="5" s="1"/>
  <c r="B237" i="5"/>
  <c r="C237" i="5" s="1"/>
  <c r="D237" i="5" s="1"/>
  <c r="C83" i="5"/>
  <c r="D83" i="5" s="1"/>
  <c r="B232" i="5"/>
  <c r="C232" i="5" s="1"/>
  <c r="D232" i="5" s="1"/>
  <c r="C78" i="5"/>
  <c r="D78" i="5" s="1"/>
  <c r="B221" i="5"/>
  <c r="C221" i="5" s="1"/>
  <c r="D221" i="5" s="1"/>
  <c r="C67" i="5"/>
  <c r="D67" i="5" s="1"/>
  <c r="B218" i="5"/>
  <c r="C218" i="5" s="1"/>
  <c r="D218" i="5" s="1"/>
  <c r="C64" i="5"/>
  <c r="D64" i="5" s="1"/>
  <c r="K288" i="2"/>
  <c r="I328" i="7"/>
  <c r="L328" i="7" s="1"/>
  <c r="C315" i="3"/>
  <c r="D315" i="3" s="1"/>
  <c r="E315" i="3" s="1"/>
  <c r="F315" i="3" s="1"/>
  <c r="G43" i="7"/>
  <c r="G169" i="6"/>
  <c r="G207" i="6" s="1"/>
  <c r="G43" i="3"/>
  <c r="J1121" i="4" s="1"/>
  <c r="B1197" i="4" s="1"/>
  <c r="G43" i="8"/>
  <c r="G52" i="7"/>
  <c r="G178" i="6"/>
  <c r="G216" i="6" s="1"/>
  <c r="G52" i="3"/>
  <c r="J1130" i="4" s="1"/>
  <c r="B1206" i="4" s="1"/>
  <c r="G52" i="8"/>
  <c r="G60" i="7"/>
  <c r="G186" i="6"/>
  <c r="G224" i="6" s="1"/>
  <c r="G60" i="3"/>
  <c r="J1138" i="4" s="1"/>
  <c r="B1214" i="4" s="1"/>
  <c r="G60" i="8"/>
  <c r="G46" i="7"/>
  <c r="G172" i="6"/>
  <c r="G210" i="6" s="1"/>
  <c r="G46" i="3"/>
  <c r="J1124" i="4" s="1"/>
  <c r="B1200" i="4" s="1"/>
  <c r="G46" i="8"/>
  <c r="G54" i="7"/>
  <c r="G180" i="6"/>
  <c r="G218" i="6" s="1"/>
  <c r="G54" i="3"/>
  <c r="J1132" i="4" s="1"/>
  <c r="B1208" i="4" s="1"/>
  <c r="G54" i="8"/>
  <c r="G62" i="7"/>
  <c r="G188" i="6"/>
  <c r="G226" i="6" s="1"/>
  <c r="G62" i="3"/>
  <c r="J1140" i="4" s="1"/>
  <c r="B1216" i="4" s="1"/>
  <c r="G62" i="8"/>
  <c r="G71" i="3"/>
  <c r="J1149" i="4" s="1"/>
  <c r="B1225" i="4" s="1"/>
  <c r="G71" i="8"/>
  <c r="G71" i="7"/>
  <c r="G197" i="6"/>
  <c r="G235" i="6" s="1"/>
  <c r="G68" i="3"/>
  <c r="J1146" i="4" s="1"/>
  <c r="B1222" i="4" s="1"/>
  <c r="G68" i="8"/>
  <c r="G68" i="7"/>
  <c r="G194" i="6"/>
  <c r="G232" i="6" s="1"/>
  <c r="G64" i="3"/>
  <c r="J1142" i="4" s="1"/>
  <c r="B1218" i="4" s="1"/>
  <c r="G64" i="8"/>
  <c r="G64" i="7"/>
  <c r="G190" i="6"/>
  <c r="G228" i="6" s="1"/>
  <c r="G59" i="3"/>
  <c r="J1137" i="4" s="1"/>
  <c r="B1213" i="4" s="1"/>
  <c r="G59" i="8"/>
  <c r="G59" i="7"/>
  <c r="G185" i="6"/>
  <c r="G223" i="6" s="1"/>
  <c r="G55" i="3"/>
  <c r="J1133" i="4" s="1"/>
  <c r="B1209" i="4" s="1"/>
  <c r="G55" i="8"/>
  <c r="G55" i="7"/>
  <c r="G181" i="6"/>
  <c r="G219" i="6" s="1"/>
  <c r="G51" i="3"/>
  <c r="J1129" i="4" s="1"/>
  <c r="B1205" i="4" s="1"/>
  <c r="G51" i="8"/>
  <c r="G51" i="7"/>
  <c r="G177" i="6"/>
  <c r="G215" i="6" s="1"/>
  <c r="G47" i="3"/>
  <c r="J1125" i="4" s="1"/>
  <c r="B1201" i="4" s="1"/>
  <c r="G47" i="8"/>
  <c r="G47" i="7"/>
  <c r="G173" i="6"/>
  <c r="G211" i="6" s="1"/>
  <c r="G42" i="3"/>
  <c r="J1120" i="4" s="1"/>
  <c r="B1196" i="4" s="1"/>
  <c r="G42" i="8"/>
  <c r="G42" i="7"/>
  <c r="G168" i="6"/>
  <c r="G206" i="6" s="1"/>
  <c r="G70" i="7"/>
  <c r="G70" i="3"/>
  <c r="J1148" i="4" s="1"/>
  <c r="B1224" i="4" s="1"/>
  <c r="G70" i="8"/>
  <c r="G196" i="6"/>
  <c r="G234" i="6" s="1"/>
  <c r="G67" i="7"/>
  <c r="G193" i="6"/>
  <c r="G231" i="6" s="1"/>
  <c r="G67" i="3"/>
  <c r="J1145" i="4" s="1"/>
  <c r="B1221" i="4" s="1"/>
  <c r="G67" i="8"/>
  <c r="C45" i="7"/>
  <c r="J45" i="2"/>
  <c r="A299" i="2" s="1"/>
  <c r="C45" i="3"/>
  <c r="C45" i="8"/>
  <c r="C50" i="7"/>
  <c r="J50" i="2"/>
  <c r="A304" i="2" s="1"/>
  <c r="C50" i="3"/>
  <c r="C50" i="8"/>
  <c r="C58" i="7"/>
  <c r="J58" i="2"/>
  <c r="A312" i="2" s="1"/>
  <c r="C58" i="3"/>
  <c r="C58" i="8"/>
  <c r="C63" i="7"/>
  <c r="J63" i="2"/>
  <c r="A317" i="2" s="1"/>
  <c r="C63" i="3"/>
  <c r="C63" i="8"/>
  <c r="C48" i="7"/>
  <c r="J48" i="2"/>
  <c r="A302" i="2" s="1"/>
  <c r="C48" i="3"/>
  <c r="C48" i="8"/>
  <c r="C56" i="7"/>
  <c r="J56" i="2"/>
  <c r="A310" i="2" s="1"/>
  <c r="C56" i="3"/>
  <c r="C56" i="8"/>
  <c r="C71" i="7"/>
  <c r="J71" i="2"/>
  <c r="A325" i="2" s="1"/>
  <c r="C71" i="3"/>
  <c r="C71" i="8"/>
  <c r="C197" i="6"/>
  <c r="C68" i="3"/>
  <c r="C68" i="8"/>
  <c r="C68" i="7"/>
  <c r="J68" i="2"/>
  <c r="A322" i="2" s="1"/>
  <c r="C64" i="3"/>
  <c r="C64" i="8"/>
  <c r="C64" i="7"/>
  <c r="J64" i="2"/>
  <c r="A318" i="2" s="1"/>
  <c r="C59" i="3"/>
  <c r="C59" i="8"/>
  <c r="C59" i="7"/>
  <c r="J59" i="2"/>
  <c r="A313" i="2" s="1"/>
  <c r="C55" i="3"/>
  <c r="C55" i="8"/>
  <c r="C55" i="7"/>
  <c r="J55" i="2"/>
  <c r="A309" i="2" s="1"/>
  <c r="C51" i="3"/>
  <c r="C51" i="8"/>
  <c r="C51" i="7"/>
  <c r="J51" i="2"/>
  <c r="A305" i="2" s="1"/>
  <c r="C47" i="3"/>
  <c r="C47" i="8"/>
  <c r="C47" i="7"/>
  <c r="J47" i="2"/>
  <c r="A301" i="2" s="1"/>
  <c r="C42" i="3"/>
  <c r="C42" i="8"/>
  <c r="C42" i="7"/>
  <c r="C168" i="6"/>
  <c r="J42" i="2"/>
  <c r="A296" i="2" s="1"/>
  <c r="C70" i="3"/>
  <c r="C70" i="8"/>
  <c r="C70" i="7"/>
  <c r="J70" i="2"/>
  <c r="A324" i="2" s="1"/>
  <c r="C196" i="6"/>
  <c r="C67" i="7"/>
  <c r="C67" i="3"/>
  <c r="C67" i="8"/>
  <c r="J67" i="2"/>
  <c r="A321" i="2" s="1"/>
  <c r="C204" i="6"/>
  <c r="J204" i="6" s="1"/>
  <c r="J166" i="6"/>
  <c r="F47" i="7"/>
  <c r="F173" i="6"/>
  <c r="F211" i="6" s="1"/>
  <c r="F47" i="3"/>
  <c r="J880" i="4" s="1"/>
  <c r="B956" i="4" s="1"/>
  <c r="F47" i="8"/>
  <c r="F55" i="7"/>
  <c r="F181" i="6"/>
  <c r="F219" i="6" s="1"/>
  <c r="F55" i="3"/>
  <c r="J888" i="4" s="1"/>
  <c r="B964" i="4" s="1"/>
  <c r="F55" i="8"/>
  <c r="F64" i="7"/>
  <c r="F190" i="6"/>
  <c r="F228" i="6" s="1"/>
  <c r="F64" i="3"/>
  <c r="J897" i="4" s="1"/>
  <c r="B973" i="4" s="1"/>
  <c r="F64" i="8"/>
  <c r="F48" i="7"/>
  <c r="F174" i="6"/>
  <c r="F212" i="6" s="1"/>
  <c r="F48" i="3"/>
  <c r="J881" i="4" s="1"/>
  <c r="B957" i="4" s="1"/>
  <c r="F48" i="8"/>
  <c r="F56" i="7"/>
  <c r="F182" i="6"/>
  <c r="F220" i="6" s="1"/>
  <c r="F56" i="3"/>
  <c r="J889" i="4" s="1"/>
  <c r="B965" i="4" s="1"/>
  <c r="F56" i="8"/>
  <c r="F44" i="7"/>
  <c r="F170" i="6"/>
  <c r="F208" i="6" s="1"/>
  <c r="F44" i="3"/>
  <c r="J877" i="4" s="1"/>
  <c r="B953" i="4" s="1"/>
  <c r="F44" i="8"/>
  <c r="F53" i="7"/>
  <c r="F179" i="6"/>
  <c r="F217" i="6" s="1"/>
  <c r="F53" i="3"/>
  <c r="J886" i="4" s="1"/>
  <c r="B962" i="4" s="1"/>
  <c r="F53" i="8"/>
  <c r="F61" i="7"/>
  <c r="F187" i="6"/>
  <c r="F225" i="6" s="1"/>
  <c r="F61" i="3"/>
  <c r="J894" i="4" s="1"/>
  <c r="B970" i="4" s="1"/>
  <c r="F61" i="8"/>
  <c r="F46" i="7"/>
  <c r="F172" i="6"/>
  <c r="F210" i="6" s="1"/>
  <c r="F46" i="3"/>
  <c r="J879" i="4" s="1"/>
  <c r="B955" i="4" s="1"/>
  <c r="F46" i="8"/>
  <c r="F54" i="7"/>
  <c r="F180" i="6"/>
  <c r="F218" i="6" s="1"/>
  <c r="F54" i="3"/>
  <c r="J887" i="4" s="1"/>
  <c r="B963" i="4" s="1"/>
  <c r="F54" i="8"/>
  <c r="F62" i="7"/>
  <c r="F188" i="6"/>
  <c r="F226" i="6" s="1"/>
  <c r="F62" i="3"/>
  <c r="J895" i="4" s="1"/>
  <c r="B971" i="4" s="1"/>
  <c r="F62" i="8"/>
  <c r="F43" i="3"/>
  <c r="J876" i="4" s="1"/>
  <c r="B952" i="4" s="1"/>
  <c r="F43" i="8"/>
  <c r="F43" i="7"/>
  <c r="F169" i="6"/>
  <c r="F207" i="6" s="1"/>
  <c r="F67" i="3"/>
  <c r="J900" i="4" s="1"/>
  <c r="B976" i="4" s="1"/>
  <c r="F67" i="8"/>
  <c r="F67" i="7"/>
  <c r="F193" i="6"/>
  <c r="F231" i="6" s="1"/>
  <c r="F45" i="3"/>
  <c r="J878" i="4" s="1"/>
  <c r="B954" i="4" s="1"/>
  <c r="F45" i="8"/>
  <c r="F45" i="7"/>
  <c r="F171" i="6"/>
  <c r="F209" i="6" s="1"/>
  <c r="F70" i="3"/>
  <c r="J903" i="4" s="1"/>
  <c r="B979" i="4" s="1"/>
  <c r="F70" i="8"/>
  <c r="F70" i="7"/>
  <c r="F196" i="6"/>
  <c r="F234" i="6" s="1"/>
  <c r="F71" i="7"/>
  <c r="F71" i="3"/>
  <c r="J904" i="4" s="1"/>
  <c r="B980" i="4" s="1"/>
  <c r="F71" i="8"/>
  <c r="F197" i="6"/>
  <c r="F235" i="6" s="1"/>
  <c r="I341" i="7"/>
  <c r="L341" i="7" s="1"/>
  <c r="I354" i="7"/>
  <c r="L354" i="7" s="1"/>
  <c r="F212" i="5"/>
  <c r="E212" i="5"/>
  <c r="K290" i="2"/>
  <c r="C311" i="3"/>
  <c r="D311" i="3" s="1"/>
  <c r="E311" i="3" s="1"/>
  <c r="F311" i="3" s="1"/>
  <c r="K263" i="2"/>
  <c r="K283" i="2"/>
  <c r="D113" i="4"/>
  <c r="F113" i="4"/>
  <c r="I113" i="4" s="1"/>
  <c r="L113" i="4" s="1"/>
  <c r="C189" i="4" s="1"/>
  <c r="L188" i="4" s="1"/>
  <c r="F608" i="4"/>
  <c r="I608" i="4" s="1"/>
  <c r="L608" i="4" s="1"/>
  <c r="C682" i="4" s="1"/>
  <c r="L681" i="4" s="1"/>
  <c r="D608" i="4"/>
  <c r="F1344" i="4"/>
  <c r="I1344" i="4" s="1"/>
  <c r="L1344" i="4" s="1"/>
  <c r="C1418" i="4" s="1"/>
  <c r="L1417" i="4" s="1"/>
  <c r="D1344" i="4"/>
  <c r="D350" i="4"/>
  <c r="F350" i="4"/>
  <c r="I350" i="4" s="1"/>
  <c r="L350" i="4" s="1"/>
  <c r="C425" i="4" s="1"/>
  <c r="L424" i="4" s="1"/>
  <c r="F1331" i="4"/>
  <c r="I1331" i="4" s="1"/>
  <c r="L1331" i="4" s="1"/>
  <c r="C1405" i="4" s="1"/>
  <c r="L1404" i="4" s="1"/>
  <c r="D1331" i="4"/>
  <c r="F1577" i="4"/>
  <c r="I1577" i="4" s="1"/>
  <c r="L1577" i="4" s="1"/>
  <c r="C1651" i="4" s="1"/>
  <c r="L1650" i="4" s="1"/>
  <c r="D1577" i="4"/>
  <c r="F595" i="4"/>
  <c r="I595" i="4" s="1"/>
  <c r="L595" i="4" s="1"/>
  <c r="C669" i="4" s="1"/>
  <c r="L668" i="4" s="1"/>
  <c r="D595" i="4"/>
  <c r="F1329" i="4"/>
  <c r="I1329" i="4" s="1"/>
  <c r="L1329" i="4" s="1"/>
  <c r="C1403" i="4" s="1"/>
  <c r="L1402" i="4" s="1"/>
  <c r="D1329" i="4"/>
  <c r="D1083" i="4"/>
  <c r="F1083" i="4"/>
  <c r="I1083" i="4" s="1"/>
  <c r="L1083" i="4" s="1"/>
  <c r="C1157" i="4" s="1"/>
  <c r="L1156" i="4" s="1"/>
  <c r="F98" i="4"/>
  <c r="I98" i="4" s="1"/>
  <c r="L98" i="4" s="1"/>
  <c r="C174" i="4" s="1"/>
  <c r="L173" i="4" s="1"/>
  <c r="D98" i="4"/>
  <c r="D97" i="4"/>
  <c r="F97" i="4"/>
  <c r="I97" i="4" s="1"/>
  <c r="L97" i="4" s="1"/>
  <c r="C173" i="4" s="1"/>
  <c r="L172" i="4" s="1"/>
  <c r="D1328" i="4"/>
  <c r="F1328" i="4"/>
  <c r="I1328" i="4" s="1"/>
  <c r="L1328" i="4" s="1"/>
  <c r="C1402" i="4" s="1"/>
  <c r="L1401" i="4" s="1"/>
  <c r="D347" i="4"/>
  <c r="F347" i="4"/>
  <c r="I347" i="4" s="1"/>
  <c r="L347" i="4" s="1"/>
  <c r="F837" i="4"/>
  <c r="I837" i="4" s="1"/>
  <c r="L837" i="4" s="1"/>
  <c r="C911" i="4" s="1"/>
  <c r="L910" i="4" s="1"/>
  <c r="D837" i="4"/>
  <c r="F1589" i="4"/>
  <c r="I1589" i="4" s="1"/>
  <c r="L1589" i="4" s="1"/>
  <c r="C1663" i="4" s="1"/>
  <c r="L1662" i="4" s="1"/>
  <c r="D1589" i="4"/>
  <c r="F1097" i="4"/>
  <c r="I1097" i="4" s="1"/>
  <c r="L1097" i="4" s="1"/>
  <c r="C1171" i="4" s="1"/>
  <c r="L1170" i="4" s="1"/>
  <c r="D1097" i="4"/>
  <c r="D112" i="4"/>
  <c r="F112" i="4"/>
  <c r="I112" i="4" s="1"/>
  <c r="L112" i="4" s="1"/>
  <c r="C188" i="4" s="1"/>
  <c r="L187" i="4" s="1"/>
  <c r="D354" i="4"/>
  <c r="F354" i="4"/>
  <c r="I354" i="4" s="1"/>
  <c r="L354" i="4" s="1"/>
  <c r="D844" i="4"/>
  <c r="F844" i="4"/>
  <c r="I844" i="4" s="1"/>
  <c r="L844" i="4" s="1"/>
  <c r="C918" i="4" s="1"/>
  <c r="L917" i="4" s="1"/>
  <c r="F1581" i="4"/>
  <c r="I1581" i="4" s="1"/>
  <c r="L1581" i="4" s="1"/>
  <c r="C1655" i="4" s="1"/>
  <c r="L1654" i="4" s="1"/>
  <c r="D1581" i="4"/>
  <c r="F599" i="4"/>
  <c r="I599" i="4" s="1"/>
  <c r="L599" i="4" s="1"/>
  <c r="C673" i="4" s="1"/>
  <c r="L672" i="4" s="1"/>
  <c r="D599" i="4"/>
  <c r="K291" i="2"/>
  <c r="C294" i="3"/>
  <c r="D294" i="3" s="1"/>
  <c r="E294" i="3" s="1"/>
  <c r="F294" i="3" s="1"/>
  <c r="C299" i="3"/>
  <c r="D299" i="3" s="1"/>
  <c r="E299" i="3" s="1"/>
  <c r="F299" i="3" s="1"/>
  <c r="C304" i="3"/>
  <c r="D304" i="3" s="1"/>
  <c r="E304" i="3" s="1"/>
  <c r="F304" i="3" s="1"/>
  <c r="C314" i="3"/>
  <c r="D314" i="3" s="1"/>
  <c r="E314" i="3" s="1"/>
  <c r="F314" i="3" s="1"/>
  <c r="K272" i="2"/>
  <c r="C317" i="3"/>
  <c r="D317" i="3" s="1"/>
  <c r="E317" i="3" s="1"/>
  <c r="F317" i="3" s="1"/>
  <c r="C300" i="3"/>
  <c r="D300" i="3" s="1"/>
  <c r="E300" i="3" s="1"/>
  <c r="F300" i="3" s="1"/>
  <c r="C316" i="3"/>
  <c r="D316" i="3" s="1"/>
  <c r="E316" i="3" s="1"/>
  <c r="F316" i="3" s="1"/>
  <c r="E215" i="5"/>
  <c r="F215" i="5"/>
  <c r="F60" i="5"/>
  <c r="E60" i="5"/>
  <c r="E219" i="5"/>
  <c r="F219" i="5"/>
  <c r="F216" i="5"/>
  <c r="E216" i="5"/>
  <c r="E68" i="5"/>
  <c r="F68" i="5"/>
  <c r="I347" i="7"/>
  <c r="L347" i="7" s="1"/>
  <c r="I356" i="7"/>
  <c r="L356" i="7" s="1"/>
  <c r="I358" i="7"/>
  <c r="L358" i="7" s="1"/>
  <c r="I348" i="7"/>
  <c r="L348" i="7" s="1"/>
  <c r="I349" i="7"/>
  <c r="L349" i="7" s="1"/>
  <c r="L266" i="2"/>
  <c r="L281" i="2"/>
  <c r="L274" i="2"/>
  <c r="L287" i="2"/>
  <c r="L264" i="2"/>
  <c r="L276" i="2"/>
  <c r="E276" i="2"/>
  <c r="L284" i="2"/>
  <c r="E284" i="2"/>
  <c r="L267" i="2"/>
  <c r="L277" i="2"/>
  <c r="E277" i="2"/>
  <c r="D344" i="8"/>
  <c r="G344" i="8" s="1"/>
  <c r="H344" i="8" s="1"/>
  <c r="D319" i="8"/>
  <c r="G319" i="8" s="1"/>
  <c r="H319" i="8" s="1"/>
  <c r="I319" i="8" s="1"/>
  <c r="D322" i="8"/>
  <c r="G322" i="8" s="1"/>
  <c r="H322" i="8" s="1"/>
  <c r="I322" i="8" s="1"/>
  <c r="M259" i="2"/>
  <c r="O259" i="2" s="1"/>
  <c r="R259" i="2" s="1"/>
  <c r="L268" i="2"/>
  <c r="E270" i="2"/>
  <c r="L288" i="2"/>
  <c r="J40" i="7"/>
  <c r="B361" i="7" s="1"/>
  <c r="J40" i="8"/>
  <c r="A348" i="8" s="1"/>
  <c r="L290" i="2"/>
  <c r="L263" i="2"/>
  <c r="L283" i="2"/>
  <c r="D318" i="8"/>
  <c r="G318" i="8" s="1"/>
  <c r="H318" i="8" s="1"/>
  <c r="I318" i="8" s="1"/>
  <c r="D339" i="8"/>
  <c r="G339" i="8" s="1"/>
  <c r="H339" i="8" s="1"/>
  <c r="D332" i="8"/>
  <c r="G332" i="8" s="1"/>
  <c r="H332" i="8" s="1"/>
  <c r="D317" i="8"/>
  <c r="G317" i="8" s="1"/>
  <c r="H317" i="8" s="1"/>
  <c r="I317" i="8" s="1"/>
  <c r="D329" i="8"/>
  <c r="G329" i="8" s="1"/>
  <c r="H329" i="8" s="1"/>
  <c r="L289" i="2"/>
  <c r="K261" i="2"/>
  <c r="K271" i="2"/>
  <c r="C322" i="3"/>
  <c r="D322" i="3" s="1"/>
  <c r="E322" i="3" s="1"/>
  <c r="F322" i="3" s="1"/>
  <c r="C305" i="3"/>
  <c r="D305" i="3" s="1"/>
  <c r="E305" i="3" s="1"/>
  <c r="F305" i="3" s="1"/>
  <c r="I71" i="7"/>
  <c r="I71" i="3"/>
  <c r="J1641" i="4" s="1"/>
  <c r="B1717" i="4" s="1"/>
  <c r="I71" i="8"/>
  <c r="I197" i="6"/>
  <c r="I235" i="6" s="1"/>
  <c r="I45" i="7"/>
  <c r="I171" i="6"/>
  <c r="I209" i="6" s="1"/>
  <c r="I45" i="3"/>
  <c r="J1615" i="4" s="1"/>
  <c r="B1691" i="4" s="1"/>
  <c r="I45" i="8"/>
  <c r="I48" i="7"/>
  <c r="I174" i="6"/>
  <c r="I212" i="6" s="1"/>
  <c r="I48" i="3"/>
  <c r="J1618" i="4" s="1"/>
  <c r="B1694" i="4" s="1"/>
  <c r="I48" i="8"/>
  <c r="I52" i="7"/>
  <c r="I178" i="6"/>
  <c r="I216" i="6" s="1"/>
  <c r="I52" i="3"/>
  <c r="J1622" i="4" s="1"/>
  <c r="B1698" i="4" s="1"/>
  <c r="I52" i="8"/>
  <c r="I56" i="7"/>
  <c r="I182" i="6"/>
  <c r="I220" i="6" s="1"/>
  <c r="I56" i="3"/>
  <c r="J1626" i="4" s="1"/>
  <c r="B1702" i="4" s="1"/>
  <c r="I56" i="8"/>
  <c r="I60" i="7"/>
  <c r="I186" i="6"/>
  <c r="I224" i="6" s="1"/>
  <c r="I60" i="3"/>
  <c r="J1630" i="4" s="1"/>
  <c r="B1706" i="4" s="1"/>
  <c r="I60" i="8"/>
  <c r="I63" i="7"/>
  <c r="I189" i="6"/>
  <c r="I227" i="6" s="1"/>
  <c r="I63" i="3"/>
  <c r="J1633" i="4" s="1"/>
  <c r="B1709" i="4" s="1"/>
  <c r="I63" i="8"/>
  <c r="I67" i="7"/>
  <c r="I193" i="6"/>
  <c r="I231" i="6" s="1"/>
  <c r="I67" i="3"/>
  <c r="J1637" i="4" s="1"/>
  <c r="B1713" i="4" s="1"/>
  <c r="I67" i="8"/>
  <c r="I70" i="7"/>
  <c r="I70" i="3"/>
  <c r="J1640" i="4" s="1"/>
  <c r="B1716" i="4" s="1"/>
  <c r="I70" i="8"/>
  <c r="I196" i="6"/>
  <c r="I234" i="6" s="1"/>
  <c r="I68" i="3"/>
  <c r="J1638" i="4" s="1"/>
  <c r="B1714" i="4" s="1"/>
  <c r="I68" i="8"/>
  <c r="I68" i="7"/>
  <c r="I194" i="6"/>
  <c r="I232" i="6" s="1"/>
  <c r="I64" i="7"/>
  <c r="I190" i="6"/>
  <c r="I228" i="6" s="1"/>
  <c r="I64" i="3"/>
  <c r="J1634" i="4" s="1"/>
  <c r="B1710" i="4" s="1"/>
  <c r="I64" i="8"/>
  <c r="I59" i="7"/>
  <c r="I185" i="6"/>
  <c r="I223" i="6" s="1"/>
  <c r="I59" i="3"/>
  <c r="J1629" i="4" s="1"/>
  <c r="B1705" i="4" s="1"/>
  <c r="I59" i="8"/>
  <c r="I55" i="7"/>
  <c r="I181" i="6"/>
  <c r="I219" i="6" s="1"/>
  <c r="I55" i="3"/>
  <c r="J1625" i="4" s="1"/>
  <c r="B1701" i="4" s="1"/>
  <c r="I55" i="8"/>
  <c r="I51" i="7"/>
  <c r="I177" i="6"/>
  <c r="I215" i="6" s="1"/>
  <c r="I51" i="3"/>
  <c r="J1621" i="4" s="1"/>
  <c r="B1697" i="4" s="1"/>
  <c r="I51" i="8"/>
  <c r="I47" i="7"/>
  <c r="I173" i="6"/>
  <c r="I211" i="6" s="1"/>
  <c r="I47" i="3"/>
  <c r="J1617" i="4" s="1"/>
  <c r="B1693" i="4" s="1"/>
  <c r="I47" i="8"/>
  <c r="I42" i="7"/>
  <c r="I168" i="6"/>
  <c r="I206" i="6" s="1"/>
  <c r="I42" i="3"/>
  <c r="J1612" i="4" s="1"/>
  <c r="B1688" i="4" s="1"/>
  <c r="I42" i="8"/>
  <c r="E71" i="7"/>
  <c r="E71" i="3"/>
  <c r="J659" i="4" s="1"/>
  <c r="B735" i="4" s="1"/>
  <c r="E71" i="8"/>
  <c r="E197" i="6"/>
  <c r="E235" i="6" s="1"/>
  <c r="E46" i="3"/>
  <c r="J634" i="4" s="1"/>
  <c r="B710" i="4" s="1"/>
  <c r="E46" i="8"/>
  <c r="E46" i="7"/>
  <c r="E172" i="6"/>
  <c r="E210" i="6" s="1"/>
  <c r="E50" i="3"/>
  <c r="J638" i="4" s="1"/>
  <c r="B714" i="4" s="1"/>
  <c r="E50" i="8"/>
  <c r="E50" i="7"/>
  <c r="E176" i="6"/>
  <c r="E214" i="6" s="1"/>
  <c r="E54" i="3"/>
  <c r="J642" i="4" s="1"/>
  <c r="B718" i="4" s="1"/>
  <c r="E54" i="8"/>
  <c r="E54" i="7"/>
  <c r="E180" i="6"/>
  <c r="E218" i="6" s="1"/>
  <c r="E58" i="3"/>
  <c r="J646" i="4" s="1"/>
  <c r="B722" i="4" s="1"/>
  <c r="E58" i="8"/>
  <c r="E58" i="7"/>
  <c r="E184" i="6"/>
  <c r="E222" i="6" s="1"/>
  <c r="E62" i="3"/>
  <c r="J650" i="4" s="1"/>
  <c r="B726" i="4" s="1"/>
  <c r="E62" i="8"/>
  <c r="E62" i="7"/>
  <c r="E188" i="6"/>
  <c r="E226" i="6" s="1"/>
  <c r="E65" i="3"/>
  <c r="J653" i="4" s="1"/>
  <c r="B729" i="4" s="1"/>
  <c r="E65" i="8"/>
  <c r="E65" i="7"/>
  <c r="E191" i="6"/>
  <c r="E229" i="6" s="1"/>
  <c r="E69" i="3"/>
  <c r="J657" i="4" s="1"/>
  <c r="B733" i="4" s="1"/>
  <c r="E69" i="8"/>
  <c r="E69" i="7"/>
  <c r="E195" i="6"/>
  <c r="E233" i="6" s="1"/>
  <c r="E43" i="7"/>
  <c r="E169" i="6"/>
  <c r="E207" i="6" s="1"/>
  <c r="E43" i="3"/>
  <c r="J631" i="4" s="1"/>
  <c r="B707" i="4" s="1"/>
  <c r="E43" i="8"/>
  <c r="E68" i="3"/>
  <c r="J656" i="4" s="1"/>
  <c r="B732" i="4" s="1"/>
  <c r="E68" i="7"/>
  <c r="E194" i="6"/>
  <c r="E232" i="6" s="1"/>
  <c r="E68" i="8"/>
  <c r="E64" i="7"/>
  <c r="E190" i="6"/>
  <c r="E228" i="6" s="1"/>
  <c r="E64" i="3"/>
  <c r="J652" i="4" s="1"/>
  <c r="B728" i="4" s="1"/>
  <c r="E64" i="8"/>
  <c r="E59" i="7"/>
  <c r="E185" i="6"/>
  <c r="E223" i="6" s="1"/>
  <c r="E59" i="3"/>
  <c r="J647" i="4" s="1"/>
  <c r="B723" i="4" s="1"/>
  <c r="E59" i="8"/>
  <c r="E55" i="7"/>
  <c r="E181" i="6"/>
  <c r="E219" i="6" s="1"/>
  <c r="E55" i="3"/>
  <c r="J643" i="4" s="1"/>
  <c r="B719" i="4" s="1"/>
  <c r="E55" i="8"/>
  <c r="E51" i="7"/>
  <c r="E177" i="6"/>
  <c r="E215" i="6" s="1"/>
  <c r="E51" i="3"/>
  <c r="J639" i="4" s="1"/>
  <c r="B715" i="4" s="1"/>
  <c r="E51" i="8"/>
  <c r="E47" i="7"/>
  <c r="E173" i="6"/>
  <c r="E211" i="6" s="1"/>
  <c r="E47" i="3"/>
  <c r="J635" i="4" s="1"/>
  <c r="B711" i="4" s="1"/>
  <c r="E47" i="8"/>
  <c r="E42" i="7"/>
  <c r="E168" i="6"/>
  <c r="E206" i="6" s="1"/>
  <c r="E42" i="3"/>
  <c r="J630" i="4" s="1"/>
  <c r="B706" i="4" s="1"/>
  <c r="E42" i="8"/>
  <c r="H72" i="3"/>
  <c r="J1396" i="4" s="1"/>
  <c r="B1472" i="4" s="1"/>
  <c r="H72" i="8"/>
  <c r="H72" i="7"/>
  <c r="H198" i="6"/>
  <c r="H236" i="6" s="1"/>
  <c r="H45" i="7"/>
  <c r="H171" i="6"/>
  <c r="H209" i="6" s="1"/>
  <c r="H45" i="3"/>
  <c r="J1369" i="4" s="1"/>
  <c r="B1445" i="4" s="1"/>
  <c r="H45" i="8"/>
  <c r="H63" i="7"/>
  <c r="H189" i="6"/>
  <c r="H227" i="6" s="1"/>
  <c r="H63" i="3"/>
  <c r="J1387" i="4" s="1"/>
  <c r="B1463" i="4" s="1"/>
  <c r="H63" i="8"/>
  <c r="H67" i="7"/>
  <c r="H193" i="6"/>
  <c r="H231" i="6" s="1"/>
  <c r="H67" i="3"/>
  <c r="J1391" i="4" s="1"/>
  <c r="B1467" i="4" s="1"/>
  <c r="H67" i="8"/>
  <c r="H69" i="3"/>
  <c r="J1393" i="4" s="1"/>
  <c r="B1469" i="4" s="1"/>
  <c r="H69" i="8"/>
  <c r="H69" i="7"/>
  <c r="H195" i="6"/>
  <c r="H233" i="6" s="1"/>
  <c r="H44" i="7"/>
  <c r="H170" i="6"/>
  <c r="H208" i="6" s="1"/>
  <c r="H44" i="3"/>
  <c r="J1368" i="4" s="1"/>
  <c r="B1444" i="4" s="1"/>
  <c r="H44" i="8"/>
  <c r="H49" i="7"/>
  <c r="H175" i="6"/>
  <c r="H213" i="6" s="1"/>
  <c r="H49" i="3"/>
  <c r="J1373" i="4" s="1"/>
  <c r="B1449" i="4" s="1"/>
  <c r="H49" i="8"/>
  <c r="H53" i="7"/>
  <c r="H179" i="6"/>
  <c r="H217" i="6" s="1"/>
  <c r="H53" i="3"/>
  <c r="J1377" i="4" s="1"/>
  <c r="B1453" i="4" s="1"/>
  <c r="H53" i="8"/>
  <c r="H57" i="7"/>
  <c r="H183" i="6"/>
  <c r="H221" i="6" s="1"/>
  <c r="H57" i="3"/>
  <c r="J1381" i="4" s="1"/>
  <c r="B1457" i="4" s="1"/>
  <c r="H57" i="8"/>
  <c r="H61" i="7"/>
  <c r="H187" i="6"/>
  <c r="H225" i="6" s="1"/>
  <c r="H61" i="3"/>
  <c r="J1385" i="4" s="1"/>
  <c r="B1461" i="4" s="1"/>
  <c r="H61" i="8"/>
  <c r="H66" i="7"/>
  <c r="H192" i="6"/>
  <c r="H230" i="6" s="1"/>
  <c r="H66" i="3"/>
  <c r="J1390" i="4" s="1"/>
  <c r="B1466" i="4" s="1"/>
  <c r="H66" i="8"/>
  <c r="H46" i="3"/>
  <c r="J1370" i="4" s="1"/>
  <c r="B1446" i="4" s="1"/>
  <c r="H46" i="8"/>
  <c r="H46" i="7"/>
  <c r="H172" i="6"/>
  <c r="H210" i="6" s="1"/>
  <c r="H50" i="3"/>
  <c r="J1374" i="4" s="1"/>
  <c r="B1450" i="4" s="1"/>
  <c r="H50" i="8"/>
  <c r="H50" i="7"/>
  <c r="H176" i="6"/>
  <c r="H214" i="6" s="1"/>
  <c r="H54" i="3"/>
  <c r="J1378" i="4" s="1"/>
  <c r="B1454" i="4" s="1"/>
  <c r="H54" i="8"/>
  <c r="H54" i="7"/>
  <c r="H180" i="6"/>
  <c r="H218" i="6" s="1"/>
  <c r="H58" i="3"/>
  <c r="J1382" i="4" s="1"/>
  <c r="B1458" i="4" s="1"/>
  <c r="H58" i="8"/>
  <c r="H58" i="7"/>
  <c r="H184" i="6"/>
  <c r="H222" i="6" s="1"/>
  <c r="H62" i="3"/>
  <c r="J1386" i="4" s="1"/>
  <c r="B1462" i="4" s="1"/>
  <c r="H62" i="8"/>
  <c r="H62" i="7"/>
  <c r="H188" i="6"/>
  <c r="H226" i="6" s="1"/>
  <c r="D41" i="7"/>
  <c r="D167" i="6"/>
  <c r="D205" i="6" s="1"/>
  <c r="D41" i="3"/>
  <c r="D41" i="8"/>
  <c r="D65" i="7"/>
  <c r="D191" i="6"/>
  <c r="D65" i="3"/>
  <c r="D65" i="8"/>
  <c r="D70" i="7"/>
  <c r="D70" i="3"/>
  <c r="D70" i="8"/>
  <c r="D196" i="6"/>
  <c r="D234" i="6" s="1"/>
  <c r="D43" i="7"/>
  <c r="D169" i="6"/>
  <c r="D43" i="3"/>
  <c r="D43" i="8"/>
  <c r="D44" i="3"/>
  <c r="D44" i="8"/>
  <c r="D44" i="7"/>
  <c r="D170" i="6"/>
  <c r="D49" i="3"/>
  <c r="D49" i="8"/>
  <c r="D49" i="7"/>
  <c r="D175" i="6"/>
  <c r="D53" i="3"/>
  <c r="D53" i="8"/>
  <c r="D53" i="7"/>
  <c r="D179" i="6"/>
  <c r="D57" i="3"/>
  <c r="D57" i="8"/>
  <c r="D57" i="7"/>
  <c r="D183" i="6"/>
  <c r="D61" i="3"/>
  <c r="D61" i="8"/>
  <c r="D61" i="7"/>
  <c r="D187" i="6"/>
  <c r="D66" i="3"/>
  <c r="D66" i="8"/>
  <c r="D66" i="7"/>
  <c r="D192" i="6"/>
  <c r="D46" i="3"/>
  <c r="D46" i="8"/>
  <c r="D46" i="7"/>
  <c r="D172" i="6"/>
  <c r="D50" i="3"/>
  <c r="D50" i="8"/>
  <c r="D50" i="7"/>
  <c r="D176" i="6"/>
  <c r="D54" i="3"/>
  <c r="D54" i="8"/>
  <c r="D54" i="7"/>
  <c r="D180" i="6"/>
  <c r="D58" i="3"/>
  <c r="D58" i="8"/>
  <c r="D58" i="7"/>
  <c r="D184" i="6"/>
  <c r="D62" i="3"/>
  <c r="D62" i="8"/>
  <c r="D62" i="7"/>
  <c r="D188" i="6"/>
  <c r="D69" i="3"/>
  <c r="D69" i="8"/>
  <c r="D69" i="7"/>
  <c r="D195" i="6"/>
  <c r="H246" i="5"/>
  <c r="J384" i="4"/>
  <c r="B460" i="4" s="1"/>
  <c r="K269" i="2"/>
  <c r="K279" i="2"/>
  <c r="F99" i="4"/>
  <c r="I99" i="4" s="1"/>
  <c r="L99" i="4" s="1"/>
  <c r="C175" i="4" s="1"/>
  <c r="L174" i="4" s="1"/>
  <c r="D99" i="4"/>
  <c r="D1576" i="4"/>
  <c r="F1576" i="4"/>
  <c r="I1576" i="4" s="1"/>
  <c r="L1576" i="4" s="1"/>
  <c r="C1650" i="4" s="1"/>
  <c r="L1649" i="4" s="1"/>
  <c r="F1330" i="4"/>
  <c r="I1330" i="4" s="1"/>
  <c r="L1330" i="4" s="1"/>
  <c r="C1404" i="4" s="1"/>
  <c r="L1403" i="4" s="1"/>
  <c r="D1330" i="4"/>
  <c r="F349" i="4"/>
  <c r="I349" i="4" s="1"/>
  <c r="L349" i="4" s="1"/>
  <c r="C424" i="4" s="1"/>
  <c r="L423" i="4" s="1"/>
  <c r="D349" i="4"/>
  <c r="K276" i="2"/>
  <c r="K260" i="2"/>
  <c r="K267" i="2"/>
  <c r="K277" i="2"/>
  <c r="C301" i="3"/>
  <c r="D301" i="3" s="1"/>
  <c r="E301" i="3" s="1"/>
  <c r="F301" i="3" s="1"/>
  <c r="F72" i="5"/>
  <c r="E72" i="5"/>
  <c r="F59" i="5"/>
  <c r="E59" i="5"/>
  <c r="E211" i="5"/>
  <c r="F211" i="5"/>
  <c r="E56" i="5"/>
  <c r="F56" i="5"/>
  <c r="F71" i="5"/>
  <c r="E71" i="5"/>
  <c r="F217" i="5"/>
  <c r="E217" i="5"/>
  <c r="B240" i="5"/>
  <c r="C240" i="5" s="1"/>
  <c r="D240" i="5" s="1"/>
  <c r="C86" i="5"/>
  <c r="D86" i="5" s="1"/>
  <c r="B235" i="5"/>
  <c r="C235" i="5" s="1"/>
  <c r="D235" i="5" s="1"/>
  <c r="C81" i="5"/>
  <c r="D81" i="5" s="1"/>
  <c r="B223" i="5"/>
  <c r="C223" i="5" s="1"/>
  <c r="D223" i="5" s="1"/>
  <c r="C69" i="5"/>
  <c r="D69" i="5" s="1"/>
  <c r="C70" i="5"/>
  <c r="D70" i="5" s="1"/>
  <c r="B224" i="5"/>
  <c r="C224" i="5" s="1"/>
  <c r="D224" i="5" s="1"/>
  <c r="C313" i="3"/>
  <c r="D313" i="3" s="1"/>
  <c r="E313" i="3" s="1"/>
  <c r="F313" i="3" s="1"/>
  <c r="C321" i="3"/>
  <c r="D321" i="3" s="1"/>
  <c r="E321" i="3" s="1"/>
  <c r="F321" i="3" s="1"/>
  <c r="K262" i="2"/>
  <c r="G302" i="3"/>
  <c r="M13" i="3" s="1"/>
  <c r="K13" i="3"/>
  <c r="L13" i="3" s="1"/>
  <c r="C307" i="3"/>
  <c r="D307" i="3" s="1"/>
  <c r="E307" i="3" s="1"/>
  <c r="F307" i="3" s="1"/>
  <c r="G312" i="3"/>
  <c r="M23" i="3" s="1"/>
  <c r="K23" i="3"/>
  <c r="L23" i="3" s="1"/>
  <c r="C320" i="3"/>
  <c r="D320" i="3" s="1"/>
  <c r="E320" i="3" s="1"/>
  <c r="F320" i="3" s="1"/>
  <c r="G292" i="3"/>
  <c r="M3" i="3" s="1"/>
  <c r="K3" i="3"/>
  <c r="L3" i="3" s="1"/>
  <c r="C309" i="3"/>
  <c r="D309" i="3" s="1"/>
  <c r="E309" i="3" s="1"/>
  <c r="F309" i="3" s="1"/>
  <c r="C298" i="3"/>
  <c r="D298" i="3" s="1"/>
  <c r="E298" i="3" s="1"/>
  <c r="F298" i="3" s="1"/>
  <c r="C310" i="3"/>
  <c r="D310" i="3" s="1"/>
  <c r="E310" i="3" s="1"/>
  <c r="F310" i="3" s="1"/>
  <c r="K278" i="2"/>
  <c r="K286" i="2"/>
  <c r="C308" i="3"/>
  <c r="D308" i="3" s="1"/>
  <c r="E308" i="3" s="1"/>
  <c r="F308" i="3" s="1"/>
  <c r="F1087" i="4"/>
  <c r="I1087" i="4" s="1"/>
  <c r="L1087" i="4" s="1"/>
  <c r="C1161" i="4" s="1"/>
  <c r="L1160" i="4" s="1"/>
  <c r="D1087" i="4"/>
  <c r="F1579" i="4"/>
  <c r="I1579" i="4" s="1"/>
  <c r="L1579" i="4" s="1"/>
  <c r="C1653" i="4" s="1"/>
  <c r="L1652" i="4" s="1"/>
  <c r="D1579" i="4"/>
  <c r="F102" i="4"/>
  <c r="I102" i="4" s="1"/>
  <c r="L102" i="4" s="1"/>
  <c r="C178" i="4" s="1"/>
  <c r="L177" i="4" s="1"/>
  <c r="D102" i="4"/>
  <c r="F596" i="4"/>
  <c r="I596" i="4" s="1"/>
  <c r="L596" i="4" s="1"/>
  <c r="D596" i="4"/>
  <c r="D1086" i="4"/>
  <c r="F1086" i="4"/>
  <c r="I1086" i="4" s="1"/>
  <c r="L1086" i="4" s="1"/>
  <c r="C1160" i="4" s="1"/>
  <c r="L1159" i="4" s="1"/>
  <c r="D1332" i="4"/>
  <c r="F1332" i="4"/>
  <c r="I1332" i="4" s="1"/>
  <c r="L1332" i="4" s="1"/>
  <c r="C1406" i="4" s="1"/>
  <c r="L1405" i="4" s="1"/>
  <c r="F351" i="4"/>
  <c r="I351" i="4" s="1"/>
  <c r="L351" i="4" s="1"/>
  <c r="C426" i="4" s="1"/>
  <c r="L425" i="4" s="1"/>
  <c r="D351" i="4"/>
  <c r="D1099" i="4"/>
  <c r="F1099" i="4"/>
  <c r="I1099" i="4" s="1"/>
  <c r="L1099" i="4" s="1"/>
  <c r="C1173" i="4" s="1"/>
  <c r="L1172" i="4" s="1"/>
  <c r="D1345" i="4"/>
  <c r="F1345" i="4"/>
  <c r="I1345" i="4" s="1"/>
  <c r="L1345" i="4" s="1"/>
  <c r="C1419" i="4" s="1"/>
  <c r="L1418" i="4" s="1"/>
  <c r="F1591" i="4"/>
  <c r="I1591" i="4" s="1"/>
  <c r="L1591" i="4" s="1"/>
  <c r="C1665" i="4" s="1"/>
  <c r="L1664" i="4" s="1"/>
  <c r="D1591" i="4"/>
  <c r="D106" i="4"/>
  <c r="F106" i="4"/>
  <c r="I106" i="4" s="1"/>
  <c r="L106" i="4" s="1"/>
  <c r="C182" i="4" s="1"/>
  <c r="L181" i="4" s="1"/>
  <c r="D846" i="4"/>
  <c r="F846" i="4"/>
  <c r="I846" i="4" s="1"/>
  <c r="L846" i="4" s="1"/>
  <c r="C920" i="4" s="1"/>
  <c r="L919" i="4" s="1"/>
  <c r="D103" i="4"/>
  <c r="F103" i="4"/>
  <c r="I103" i="4" s="1"/>
  <c r="L103" i="4" s="1"/>
  <c r="C179" i="4" s="1"/>
  <c r="L178" i="4" s="1"/>
  <c r="D353" i="4"/>
  <c r="F353" i="4"/>
  <c r="I353" i="4" s="1"/>
  <c r="L353" i="4" s="1"/>
  <c r="D598" i="4"/>
  <c r="F598" i="4"/>
  <c r="I598" i="4" s="1"/>
  <c r="L598" i="4" s="1"/>
  <c r="C672" i="4" s="1"/>
  <c r="L671" i="4" s="1"/>
  <c r="D359" i="4"/>
  <c r="F359" i="4"/>
  <c r="I359" i="4" s="1"/>
  <c r="L359" i="4" s="1"/>
  <c r="C434" i="4" s="1"/>
  <c r="L433" i="4" s="1"/>
  <c r="F1340" i="4"/>
  <c r="I1340" i="4" s="1"/>
  <c r="L1340" i="4" s="1"/>
  <c r="C1414" i="4" s="1"/>
  <c r="L1413" i="4" s="1"/>
  <c r="D1340" i="4"/>
  <c r="F849" i="4"/>
  <c r="I849" i="4" s="1"/>
  <c r="L849" i="4" s="1"/>
  <c r="C923" i="4" s="1"/>
  <c r="L922" i="4" s="1"/>
  <c r="D849" i="4"/>
  <c r="F604" i="4"/>
  <c r="I604" i="4" s="1"/>
  <c r="L604" i="4" s="1"/>
  <c r="C678" i="4" s="1"/>
  <c r="L677" i="4" s="1"/>
  <c r="D604" i="4"/>
  <c r="G331" i="7"/>
  <c r="H331" i="7" s="1"/>
  <c r="J331" i="7"/>
  <c r="K331" i="7" s="1"/>
  <c r="F331" i="7"/>
  <c r="K8" i="7" s="1"/>
  <c r="G334" i="7"/>
  <c r="H334" i="7" s="1"/>
  <c r="J334" i="7"/>
  <c r="K334" i="7" s="1"/>
  <c r="F334" i="7"/>
  <c r="K11" i="7" s="1"/>
  <c r="G352" i="7"/>
  <c r="H352" i="7" s="1"/>
  <c r="J352" i="7"/>
  <c r="K352" i="7" s="1"/>
  <c r="F352" i="7"/>
  <c r="K29" i="7" s="1"/>
  <c r="G330" i="7"/>
  <c r="H330" i="7" s="1"/>
  <c r="J330" i="7"/>
  <c r="K330" i="7" s="1"/>
  <c r="F330" i="7"/>
  <c r="K7" i="7" s="1"/>
  <c r="B375" i="4"/>
  <c r="C375" i="4" s="1"/>
  <c r="B1356" i="4"/>
  <c r="C1356" i="4" s="1"/>
  <c r="B865" i="4"/>
  <c r="C865" i="4" s="1"/>
  <c r="C125" i="4"/>
  <c r="B620" i="4"/>
  <c r="C620" i="4" s="1"/>
  <c r="B1110" i="4"/>
  <c r="C1110" i="4" s="1"/>
  <c r="B1602" i="4"/>
  <c r="C1602" i="4" s="1"/>
  <c r="B371" i="4"/>
  <c r="C371" i="4" s="1"/>
  <c r="B861" i="4"/>
  <c r="C861" i="4" s="1"/>
  <c r="B1352" i="4"/>
  <c r="C1352" i="4" s="1"/>
  <c r="B1106" i="4"/>
  <c r="C1106" i="4" s="1"/>
  <c r="C121" i="4"/>
  <c r="B616" i="4"/>
  <c r="C616" i="4" s="1"/>
  <c r="B1598" i="4"/>
  <c r="C1598" i="4" s="1"/>
  <c r="B368" i="4"/>
  <c r="C368" i="4" s="1"/>
  <c r="B1595" i="4"/>
  <c r="C1595" i="4" s="1"/>
  <c r="B613" i="4"/>
  <c r="C613" i="4" s="1"/>
  <c r="B858" i="4"/>
  <c r="C858" i="4" s="1"/>
  <c r="B1349" i="4"/>
  <c r="C1349" i="4" s="1"/>
  <c r="B1103" i="4"/>
  <c r="C1103" i="4" s="1"/>
  <c r="C118" i="4"/>
  <c r="B366" i="4"/>
  <c r="C366" i="4" s="1"/>
  <c r="C116" i="4"/>
  <c r="B1593" i="4"/>
  <c r="C1593" i="4" s="1"/>
  <c r="B1101" i="4"/>
  <c r="C1101" i="4" s="1"/>
  <c r="B611" i="4"/>
  <c r="C611" i="4" s="1"/>
  <c r="B1347" i="4"/>
  <c r="C1347" i="4" s="1"/>
  <c r="B856" i="4"/>
  <c r="C856" i="4" s="1"/>
  <c r="B373" i="4"/>
  <c r="C373" i="4" s="1"/>
  <c r="B863" i="4"/>
  <c r="C863" i="4" s="1"/>
  <c r="B1600" i="4"/>
  <c r="C1600" i="4" s="1"/>
  <c r="C123" i="4"/>
  <c r="B1108" i="4"/>
  <c r="C1108" i="4" s="1"/>
  <c r="B618" i="4"/>
  <c r="C618" i="4" s="1"/>
  <c r="B1354" i="4"/>
  <c r="C1354" i="4" s="1"/>
  <c r="B370" i="4"/>
  <c r="C370" i="4" s="1"/>
  <c r="B1597" i="4"/>
  <c r="C1597" i="4" s="1"/>
  <c r="B1351" i="4"/>
  <c r="C1351" i="4" s="1"/>
  <c r="B1105" i="4"/>
  <c r="C1105" i="4" s="1"/>
  <c r="C120" i="4"/>
  <c r="B615" i="4"/>
  <c r="C615" i="4" s="1"/>
  <c r="B860" i="4"/>
  <c r="C860" i="4" s="1"/>
  <c r="B367" i="4"/>
  <c r="C367" i="4" s="1"/>
  <c r="B612" i="4"/>
  <c r="C612" i="4" s="1"/>
  <c r="B1348" i="4"/>
  <c r="C1348" i="4" s="1"/>
  <c r="C117" i="4"/>
  <c r="B857" i="4"/>
  <c r="C857" i="4" s="1"/>
  <c r="B1102" i="4"/>
  <c r="C1102" i="4" s="1"/>
  <c r="B1594" i="4"/>
  <c r="C1594" i="4" s="1"/>
  <c r="B378" i="4"/>
  <c r="C378" i="4" s="1"/>
  <c r="B623" i="4"/>
  <c r="C623" i="4" s="1"/>
  <c r="B1113" i="4"/>
  <c r="C1113" i="4" s="1"/>
  <c r="B1605" i="4"/>
  <c r="C1605" i="4" s="1"/>
  <c r="B868" i="4"/>
  <c r="C868" i="4" s="1"/>
  <c r="B1359" i="4"/>
  <c r="C1359" i="4" s="1"/>
  <c r="C128" i="4"/>
  <c r="B374" i="4"/>
  <c r="C374" i="4" s="1"/>
  <c r="B619" i="4"/>
  <c r="C619" i="4" s="1"/>
  <c r="B1601" i="4"/>
  <c r="C1601" i="4" s="1"/>
  <c r="B864" i="4"/>
  <c r="C864" i="4" s="1"/>
  <c r="B1355" i="4"/>
  <c r="C1355" i="4" s="1"/>
  <c r="C124" i="4"/>
  <c r="B1109" i="4"/>
  <c r="C1109" i="4" s="1"/>
  <c r="B369" i="4"/>
  <c r="C369" i="4" s="1"/>
  <c r="C119" i="4"/>
  <c r="B859" i="4"/>
  <c r="C859" i="4" s="1"/>
  <c r="B1596" i="4"/>
  <c r="C1596" i="4" s="1"/>
  <c r="B1104" i="4"/>
  <c r="C1104" i="4" s="1"/>
  <c r="B614" i="4"/>
  <c r="C614" i="4" s="1"/>
  <c r="B1350" i="4"/>
  <c r="C1350" i="4" s="1"/>
  <c r="B358" i="4"/>
  <c r="C358" i="4" s="1"/>
  <c r="B1585" i="4"/>
  <c r="C1585" i="4" s="1"/>
  <c r="C108" i="4"/>
  <c r="B848" i="4"/>
  <c r="C848" i="4" s="1"/>
  <c r="B1339" i="4"/>
  <c r="C1339" i="4" s="1"/>
  <c r="B1093" i="4"/>
  <c r="C1093" i="4" s="1"/>
  <c r="B603" i="4"/>
  <c r="C603" i="4" s="1"/>
  <c r="B355" i="4"/>
  <c r="C355" i="4" s="1"/>
  <c r="B1582" i="4"/>
  <c r="C1582" i="4" s="1"/>
  <c r="C105" i="4"/>
  <c r="B1090" i="4"/>
  <c r="C1090" i="4" s="1"/>
  <c r="B1336" i="4"/>
  <c r="C1336" i="4" s="1"/>
  <c r="B845" i="4"/>
  <c r="C845" i="4" s="1"/>
  <c r="B600" i="4"/>
  <c r="C600" i="4" s="1"/>
  <c r="I337" i="7"/>
  <c r="K280" i="2"/>
  <c r="I355" i="7"/>
  <c r="C324" i="3"/>
  <c r="D324" i="3" s="1"/>
  <c r="E324" i="3" s="1"/>
  <c r="F324" i="3" s="1"/>
  <c r="I329" i="7"/>
  <c r="C295" i="3"/>
  <c r="D295" i="3" s="1"/>
  <c r="E295" i="3" s="1"/>
  <c r="F295" i="3" s="1"/>
  <c r="G48" i="7"/>
  <c r="G174" i="6"/>
  <c r="G212" i="6" s="1"/>
  <c r="G48" i="3"/>
  <c r="J1126" i="4" s="1"/>
  <c r="B1202" i="4" s="1"/>
  <c r="G48" i="8"/>
  <c r="G56" i="7"/>
  <c r="G182" i="6"/>
  <c r="G220" i="6" s="1"/>
  <c r="G56" i="3"/>
  <c r="J1134" i="4" s="1"/>
  <c r="B1210" i="4" s="1"/>
  <c r="G56" i="8"/>
  <c r="G45" i="7"/>
  <c r="G171" i="6"/>
  <c r="G209" i="6" s="1"/>
  <c r="G45" i="3"/>
  <c r="J1123" i="4" s="1"/>
  <c r="B1199" i="4" s="1"/>
  <c r="G45" i="8"/>
  <c r="G50" i="7"/>
  <c r="G176" i="6"/>
  <c r="G214" i="6" s="1"/>
  <c r="G50" i="3"/>
  <c r="J1128" i="4" s="1"/>
  <c r="B1204" i="4" s="1"/>
  <c r="G50" i="8"/>
  <c r="G58" i="7"/>
  <c r="G184" i="6"/>
  <c r="G222" i="6" s="1"/>
  <c r="G58" i="3"/>
  <c r="J1136" i="4" s="1"/>
  <c r="B1212" i="4" s="1"/>
  <c r="G58" i="8"/>
  <c r="G63" i="7"/>
  <c r="G189" i="6"/>
  <c r="G227" i="6" s="1"/>
  <c r="G63" i="3"/>
  <c r="J1141" i="4" s="1"/>
  <c r="B1217" i="4" s="1"/>
  <c r="G63" i="8"/>
  <c r="G72" i="7"/>
  <c r="G72" i="3"/>
  <c r="J1150" i="4" s="1"/>
  <c r="B1226" i="4" s="1"/>
  <c r="G72" i="8"/>
  <c r="G198" i="6"/>
  <c r="G236" i="6" s="1"/>
  <c r="G66" i="7"/>
  <c r="G192" i="6"/>
  <c r="G230" i="6" s="1"/>
  <c r="G66" i="3"/>
  <c r="J1144" i="4" s="1"/>
  <c r="B1220" i="4" s="1"/>
  <c r="G66" i="8"/>
  <c r="G61" i="7"/>
  <c r="G187" i="6"/>
  <c r="G225" i="6" s="1"/>
  <c r="G61" i="3"/>
  <c r="J1139" i="4" s="1"/>
  <c r="B1215" i="4" s="1"/>
  <c r="G61" i="8"/>
  <c r="G57" i="7"/>
  <c r="G183" i="6"/>
  <c r="G221" i="6" s="1"/>
  <c r="G57" i="3"/>
  <c r="J1135" i="4" s="1"/>
  <c r="B1211" i="4" s="1"/>
  <c r="G57" i="8"/>
  <c r="G53" i="7"/>
  <c r="G179" i="6"/>
  <c r="G217" i="6" s="1"/>
  <c r="G53" i="3"/>
  <c r="J1131" i="4" s="1"/>
  <c r="B1207" i="4" s="1"/>
  <c r="G53" i="8"/>
  <c r="G49" i="7"/>
  <c r="G175" i="6"/>
  <c r="G213" i="6" s="1"/>
  <c r="G49" i="3"/>
  <c r="J1127" i="4" s="1"/>
  <c r="B1203" i="4" s="1"/>
  <c r="G49" i="8"/>
  <c r="G44" i="7"/>
  <c r="G170" i="6"/>
  <c r="G208" i="6" s="1"/>
  <c r="G44" i="3"/>
  <c r="J1122" i="4" s="1"/>
  <c r="B1198" i="4" s="1"/>
  <c r="G44" i="8"/>
  <c r="G41" i="3"/>
  <c r="J1119" i="4" s="1"/>
  <c r="B1195" i="4" s="1"/>
  <c r="G41" i="8"/>
  <c r="G41" i="7"/>
  <c r="G167" i="6"/>
  <c r="G205" i="6" s="1"/>
  <c r="G69" i="7"/>
  <c r="G195" i="6"/>
  <c r="G233" i="6" s="1"/>
  <c r="G69" i="3"/>
  <c r="J1147" i="4" s="1"/>
  <c r="B1223" i="4" s="1"/>
  <c r="G69" i="8"/>
  <c r="G65" i="3"/>
  <c r="J1143" i="4" s="1"/>
  <c r="B1219" i="4" s="1"/>
  <c r="G65" i="8"/>
  <c r="G65" i="7"/>
  <c r="G191" i="6"/>
  <c r="G229" i="6" s="1"/>
  <c r="C46" i="7"/>
  <c r="J46" i="2"/>
  <c r="A300" i="2" s="1"/>
  <c r="C46" i="3"/>
  <c r="C46" i="8"/>
  <c r="C54" i="7"/>
  <c r="J54" i="2"/>
  <c r="A308" i="2" s="1"/>
  <c r="C54" i="3"/>
  <c r="C54" i="8"/>
  <c r="C62" i="7"/>
  <c r="J62" i="2"/>
  <c r="A316" i="2" s="1"/>
  <c r="C62" i="3"/>
  <c r="C62" i="8"/>
  <c r="C43" i="7"/>
  <c r="J43" i="2"/>
  <c r="A297" i="2" s="1"/>
  <c r="C43" i="3"/>
  <c r="C43" i="8"/>
  <c r="C52" i="7"/>
  <c r="J52" i="2"/>
  <c r="A306" i="2" s="1"/>
  <c r="C52" i="3"/>
  <c r="C52" i="8"/>
  <c r="C60" i="7"/>
  <c r="J60" i="2"/>
  <c r="A314" i="2" s="1"/>
  <c r="C60" i="3"/>
  <c r="C60" i="8"/>
  <c r="C72" i="3"/>
  <c r="C72" i="8"/>
  <c r="C72" i="7"/>
  <c r="J72" i="2"/>
  <c r="A326" i="2" s="1"/>
  <c r="C198" i="6"/>
  <c r="C66" i="7"/>
  <c r="C66" i="3"/>
  <c r="C66" i="8"/>
  <c r="J66" i="2"/>
  <c r="A320" i="2" s="1"/>
  <c r="C61" i="7"/>
  <c r="C61" i="3"/>
  <c r="C61" i="8"/>
  <c r="J61" i="2"/>
  <c r="A315" i="2" s="1"/>
  <c r="C57" i="7"/>
  <c r="C57" i="3"/>
  <c r="C57" i="8"/>
  <c r="J57" i="2"/>
  <c r="A311" i="2" s="1"/>
  <c r="C53" i="7"/>
  <c r="C53" i="3"/>
  <c r="C53" i="8"/>
  <c r="J53" i="2"/>
  <c r="A307" i="2" s="1"/>
  <c r="C49" i="7"/>
  <c r="C49" i="3"/>
  <c r="C49" i="8"/>
  <c r="J49" i="2"/>
  <c r="A303" i="2" s="1"/>
  <c r="C44" i="7"/>
  <c r="C44" i="3"/>
  <c r="C44" i="8"/>
  <c r="J44" i="2"/>
  <c r="A298" i="2" s="1"/>
  <c r="C41" i="3"/>
  <c r="C41" i="8"/>
  <c r="C41" i="7"/>
  <c r="C167" i="6"/>
  <c r="C205" i="6" s="1"/>
  <c r="J41" i="2"/>
  <c r="A295" i="2" s="1"/>
  <c r="C294" i="2"/>
  <c r="E294" i="2" s="1"/>
  <c r="I294" i="2"/>
  <c r="J294" i="2"/>
  <c r="F294" i="2"/>
  <c r="C69" i="7"/>
  <c r="J69" i="2"/>
  <c r="A323" i="2" s="1"/>
  <c r="C69" i="3"/>
  <c r="C69" i="8"/>
  <c r="C65" i="3"/>
  <c r="C65" i="8"/>
  <c r="C65" i="7"/>
  <c r="J65" i="2"/>
  <c r="A319" i="2" s="1"/>
  <c r="J40" i="3"/>
  <c r="H92" i="5"/>
  <c r="J134" i="4"/>
  <c r="B210" i="4" s="1"/>
  <c r="F42" i="7"/>
  <c r="F168" i="6"/>
  <c r="F206" i="6" s="1"/>
  <c r="F42" i="3"/>
  <c r="J875" i="4" s="1"/>
  <c r="B951" i="4" s="1"/>
  <c r="F42" i="8"/>
  <c r="F51" i="7"/>
  <c r="F177" i="6"/>
  <c r="F215" i="6" s="1"/>
  <c r="F51" i="3"/>
  <c r="J884" i="4" s="1"/>
  <c r="B960" i="4" s="1"/>
  <c r="F51" i="8"/>
  <c r="F59" i="7"/>
  <c r="F185" i="6"/>
  <c r="F223" i="6" s="1"/>
  <c r="F59" i="3"/>
  <c r="J892" i="4" s="1"/>
  <c r="B968" i="4" s="1"/>
  <c r="F59" i="8"/>
  <c r="F68" i="7"/>
  <c r="F194" i="6"/>
  <c r="F232" i="6" s="1"/>
  <c r="F68" i="3"/>
  <c r="J901" i="4" s="1"/>
  <c r="B977" i="4" s="1"/>
  <c r="F68" i="8"/>
  <c r="F52" i="7"/>
  <c r="F178" i="6"/>
  <c r="F216" i="6" s="1"/>
  <c r="F52" i="3"/>
  <c r="J885" i="4" s="1"/>
  <c r="B961" i="4" s="1"/>
  <c r="F52" i="8"/>
  <c r="F60" i="7"/>
  <c r="F186" i="6"/>
  <c r="F224" i="6" s="1"/>
  <c r="F60" i="3"/>
  <c r="J893" i="4" s="1"/>
  <c r="B969" i="4" s="1"/>
  <c r="F60" i="8"/>
  <c r="F49" i="7"/>
  <c r="F175" i="6"/>
  <c r="F213" i="6" s="1"/>
  <c r="F49" i="3"/>
  <c r="J882" i="4" s="1"/>
  <c r="B958" i="4" s="1"/>
  <c r="F49" i="8"/>
  <c r="F57" i="7"/>
  <c r="F183" i="6"/>
  <c r="F221" i="6" s="1"/>
  <c r="F57" i="3"/>
  <c r="J890" i="4" s="1"/>
  <c r="B966" i="4" s="1"/>
  <c r="F57" i="8"/>
  <c r="F66" i="7"/>
  <c r="F192" i="6"/>
  <c r="F230" i="6" s="1"/>
  <c r="F66" i="3"/>
  <c r="J899" i="4" s="1"/>
  <c r="B975" i="4" s="1"/>
  <c r="F66" i="8"/>
  <c r="F50" i="7"/>
  <c r="F176" i="6"/>
  <c r="F214" i="6" s="1"/>
  <c r="F50" i="3"/>
  <c r="J883" i="4" s="1"/>
  <c r="B959" i="4" s="1"/>
  <c r="F50" i="8"/>
  <c r="F58" i="7"/>
  <c r="F184" i="6"/>
  <c r="F222" i="6" s="1"/>
  <c r="F58" i="3"/>
  <c r="J891" i="4" s="1"/>
  <c r="B967" i="4" s="1"/>
  <c r="F58" i="8"/>
  <c r="F72" i="7"/>
  <c r="F72" i="3"/>
  <c r="F72" i="8"/>
  <c r="F198" i="6"/>
  <c r="F236" i="6" s="1"/>
  <c r="F63" i="3"/>
  <c r="J896" i="4" s="1"/>
  <c r="B972" i="4" s="1"/>
  <c r="F63" i="8"/>
  <c r="F63" i="7"/>
  <c r="F189" i="6"/>
  <c r="F227" i="6" s="1"/>
  <c r="F41" i="7"/>
  <c r="F167" i="6"/>
  <c r="F205" i="6" s="1"/>
  <c r="F41" i="3"/>
  <c r="J874" i="4" s="1"/>
  <c r="B950" i="4" s="1"/>
  <c r="F41" i="8"/>
  <c r="F65" i="3"/>
  <c r="J898" i="4" s="1"/>
  <c r="B974" i="4" s="1"/>
  <c r="F65" i="8"/>
  <c r="F65" i="7"/>
  <c r="F191" i="6"/>
  <c r="F229" i="6" s="1"/>
  <c r="F69" i="3"/>
  <c r="J902" i="4" s="1"/>
  <c r="B978" i="4" s="1"/>
  <c r="F69" i="8"/>
  <c r="F69" i="7"/>
  <c r="F195" i="6"/>
  <c r="F233" i="6" s="1"/>
  <c r="I336" i="7"/>
  <c r="L336" i="7" s="1"/>
  <c r="I346" i="7"/>
  <c r="L346" i="7" s="1"/>
  <c r="F58" i="5"/>
  <c r="E58" i="5"/>
  <c r="K273" i="2"/>
  <c r="K275" i="2"/>
  <c r="D363" i="4"/>
  <c r="F363" i="4"/>
  <c r="I363" i="4" s="1"/>
  <c r="L363" i="4" s="1"/>
  <c r="D1590" i="4"/>
  <c r="F1590" i="4"/>
  <c r="I1590" i="4" s="1"/>
  <c r="L1590" i="4" s="1"/>
  <c r="C1664" i="4" s="1"/>
  <c r="L1663" i="4" s="1"/>
  <c r="F1098" i="4"/>
  <c r="I1098" i="4" s="1"/>
  <c r="L1098" i="4" s="1"/>
  <c r="C1172" i="4" s="1"/>
  <c r="L1171" i="4" s="1"/>
  <c r="D1098" i="4"/>
  <c r="F853" i="4"/>
  <c r="I853" i="4" s="1"/>
  <c r="L853" i="4" s="1"/>
  <c r="C927" i="4" s="1"/>
  <c r="L926" i="4" s="1"/>
  <c r="D853" i="4"/>
  <c r="F1085" i="4"/>
  <c r="I1085" i="4" s="1"/>
  <c r="L1085" i="4" s="1"/>
  <c r="C1159" i="4" s="1"/>
  <c r="L1158" i="4" s="1"/>
  <c r="D1085" i="4"/>
  <c r="D100" i="4"/>
  <c r="F100" i="4"/>
  <c r="I100" i="4" s="1"/>
  <c r="L100" i="4" s="1"/>
  <c r="C176" i="4" s="1"/>
  <c r="L175" i="4" s="1"/>
  <c r="F840" i="4"/>
  <c r="I840" i="4" s="1"/>
  <c r="L840" i="4" s="1"/>
  <c r="C914" i="4" s="1"/>
  <c r="L913" i="4" s="1"/>
  <c r="D840" i="4"/>
  <c r="F593" i="4"/>
  <c r="I593" i="4" s="1"/>
  <c r="L593" i="4" s="1"/>
  <c r="C667" i="4" s="1"/>
  <c r="L666" i="4" s="1"/>
  <c r="D593" i="4"/>
  <c r="D838" i="4"/>
  <c r="F838" i="4"/>
  <c r="I838" i="4" s="1"/>
  <c r="L838" i="4" s="1"/>
  <c r="C912" i="4" s="1"/>
  <c r="L911" i="4" s="1"/>
  <c r="D1575" i="4"/>
  <c r="F1575" i="4"/>
  <c r="I1575" i="4" s="1"/>
  <c r="L1575" i="4" s="1"/>
  <c r="C1649" i="4" s="1"/>
  <c r="L1648" i="4" s="1"/>
  <c r="D348" i="4"/>
  <c r="F348" i="4"/>
  <c r="I348" i="4" s="1"/>
  <c r="L348" i="4" s="1"/>
  <c r="C423" i="4" s="1"/>
  <c r="L422" i="4" s="1"/>
  <c r="F1082" i="4"/>
  <c r="I1082" i="4" s="1"/>
  <c r="L1082" i="4" s="1"/>
  <c r="C1156" i="4" s="1"/>
  <c r="L1155" i="4" s="1"/>
  <c r="D1082" i="4"/>
  <c r="F1574" i="4"/>
  <c r="I1574" i="4" s="1"/>
  <c r="L1574" i="4" s="1"/>
  <c r="C1648" i="4" s="1"/>
  <c r="L1647" i="4" s="1"/>
  <c r="D1574" i="4"/>
  <c r="F592" i="4"/>
  <c r="I592" i="4" s="1"/>
  <c r="L592" i="4" s="1"/>
  <c r="C666" i="4" s="1"/>
  <c r="L665" i="4" s="1"/>
  <c r="D592" i="4"/>
  <c r="D852" i="4"/>
  <c r="F852" i="4"/>
  <c r="I852" i="4" s="1"/>
  <c r="L852" i="4" s="1"/>
  <c r="C926" i="4" s="1"/>
  <c r="L925" i="4" s="1"/>
  <c r="D362" i="4"/>
  <c r="F362" i="4"/>
  <c r="I362" i="4" s="1"/>
  <c r="L362" i="4" s="1"/>
  <c r="C437" i="4" s="1"/>
  <c r="L436" i="4" s="1"/>
  <c r="F1343" i="4"/>
  <c r="I1343" i="4" s="1"/>
  <c r="L1343" i="4" s="1"/>
  <c r="C1417" i="4" s="1"/>
  <c r="L1416" i="4" s="1"/>
  <c r="D1343" i="4"/>
  <c r="F607" i="4"/>
  <c r="I607" i="4" s="1"/>
  <c r="L607" i="4" s="1"/>
  <c r="C681" i="4" s="1"/>
  <c r="L680" i="4" s="1"/>
  <c r="D607" i="4"/>
  <c r="D104" i="4"/>
  <c r="F104" i="4"/>
  <c r="I104" i="4" s="1"/>
  <c r="L104" i="4" s="1"/>
  <c r="C180" i="4" s="1"/>
  <c r="L179" i="4" s="1"/>
  <c r="F1089" i="4"/>
  <c r="I1089" i="4" s="1"/>
  <c r="L1089" i="4" s="1"/>
  <c r="C1163" i="4" s="1"/>
  <c r="L1162" i="4" s="1"/>
  <c r="D1089" i="4"/>
  <c r="D1335" i="4"/>
  <c r="F1335" i="4"/>
  <c r="I1335" i="4" s="1"/>
  <c r="L1335" i="4" s="1"/>
  <c r="C1409" i="4" s="1"/>
  <c r="L1408" i="4" s="1"/>
  <c r="K289" i="2"/>
  <c r="C293" i="3"/>
  <c r="D293" i="3" s="1"/>
  <c r="E293" i="3" s="1"/>
  <c r="F293" i="3" s="1"/>
  <c r="C318" i="3"/>
  <c r="D318" i="3" s="1"/>
  <c r="E318" i="3" s="1"/>
  <c r="F318" i="3" s="1"/>
  <c r="C306" i="3"/>
  <c r="D306" i="3" s="1"/>
  <c r="E306" i="3" s="1"/>
  <c r="F306" i="3" s="1"/>
  <c r="E214" i="5"/>
  <c r="F214" i="5"/>
  <c r="F73" i="5"/>
  <c r="E73" i="5"/>
  <c r="E65" i="5"/>
  <c r="F65" i="5"/>
  <c r="E62" i="5"/>
  <c r="F62" i="5"/>
  <c r="E222" i="5"/>
  <c r="F222" i="5"/>
  <c r="J357" i="7"/>
  <c r="K357" i="7" s="1"/>
  <c r="F357" i="7"/>
  <c r="K34" i="7" s="1"/>
  <c r="G357" i="7"/>
  <c r="H357" i="7" s="1"/>
  <c r="J353" i="7"/>
  <c r="K353" i="7" s="1"/>
  <c r="F353" i="7"/>
  <c r="K30" i="7" s="1"/>
  <c r="G353" i="7"/>
  <c r="H353" i="7" s="1"/>
  <c r="I338" i="7"/>
  <c r="L338" i="7" s="1"/>
  <c r="I326" i="7"/>
  <c r="L326" i="7" s="1"/>
  <c r="I333" i="7"/>
  <c r="L333" i="7" s="1"/>
  <c r="I339" i="7"/>
  <c r="L339" i="7" s="1"/>
  <c r="L271" i="2"/>
  <c r="D330" i="8"/>
  <c r="G330" i="8" s="1"/>
  <c r="H330" i="8" s="1"/>
  <c r="D327" i="8"/>
  <c r="G327" i="8" s="1"/>
  <c r="H327" i="8" s="1"/>
  <c r="L273" i="2"/>
  <c r="L275" i="2"/>
  <c r="D314" i="8"/>
  <c r="G314" i="8" s="1"/>
  <c r="H314" i="8" s="1"/>
  <c r="I314" i="8" s="1"/>
  <c r="D1583" i="4" l="1"/>
  <c r="D1091" i="4"/>
  <c r="F356" i="4"/>
  <c r="I356" i="4" s="1"/>
  <c r="L356" i="4" s="1"/>
  <c r="D1337" i="4"/>
  <c r="G1337" i="4" s="1"/>
  <c r="J1337" i="4" s="1"/>
  <c r="M1337" i="4" s="1"/>
  <c r="D1411" i="4" s="1"/>
  <c r="J325" i="8"/>
  <c r="J50" i="1" s="1"/>
  <c r="B34" i="4" s="1"/>
  <c r="M396" i="7"/>
  <c r="L77" i="7" s="1"/>
  <c r="M415" i="7"/>
  <c r="L96" i="7" s="1"/>
  <c r="F61" i="5"/>
  <c r="G61" i="5" s="1"/>
  <c r="L98" i="5" s="1"/>
  <c r="N98" i="5" s="1"/>
  <c r="D601" i="4"/>
  <c r="E601" i="4" s="1"/>
  <c r="H601" i="4" s="1"/>
  <c r="K601" i="4" s="1"/>
  <c r="N601" i="4" s="1"/>
  <c r="E675" i="4" s="1"/>
  <c r="I329" i="8"/>
  <c r="I54" i="1" s="1"/>
  <c r="I344" i="8"/>
  <c r="I69" i="1" s="1"/>
  <c r="I328" i="8"/>
  <c r="J328" i="8" s="1"/>
  <c r="J53" i="1" s="1"/>
  <c r="B33" i="5" s="1"/>
  <c r="I330" i="8"/>
  <c r="J330" i="8" s="1"/>
  <c r="J55" i="1" s="1"/>
  <c r="I342" i="8"/>
  <c r="J342" i="8" s="1"/>
  <c r="J67" i="1" s="1"/>
  <c r="B47" i="5" s="1"/>
  <c r="I336" i="8"/>
  <c r="I61" i="1" s="1"/>
  <c r="I327" i="8"/>
  <c r="J327" i="8" s="1"/>
  <c r="J52" i="1" s="1"/>
  <c r="I333" i="8"/>
  <c r="J333" i="8" s="1"/>
  <c r="J58" i="1" s="1"/>
  <c r="B42" i="4" s="1"/>
  <c r="I332" i="8"/>
  <c r="I40" i="1"/>
  <c r="I337" i="8"/>
  <c r="I62" i="1" s="1"/>
  <c r="I338" i="8"/>
  <c r="J338" i="8" s="1"/>
  <c r="J63" i="1" s="1"/>
  <c r="Q262" i="2"/>
  <c r="I339" i="8"/>
  <c r="J339" i="8" s="1"/>
  <c r="J64" i="1" s="1"/>
  <c r="F55" i="5"/>
  <c r="G55" i="5" s="1"/>
  <c r="L92" i="5" s="1"/>
  <c r="N92" i="5" s="1"/>
  <c r="M423" i="7"/>
  <c r="L104" i="7" s="1"/>
  <c r="E227" i="5"/>
  <c r="J320" i="8"/>
  <c r="J45" i="1" s="1"/>
  <c r="B25" i="5" s="1"/>
  <c r="F85" i="5"/>
  <c r="G85" i="5" s="1"/>
  <c r="L122" i="5" s="1"/>
  <c r="N122" i="5" s="1"/>
  <c r="Q265" i="2"/>
  <c r="Q263" i="2"/>
  <c r="T259" i="2"/>
  <c r="W259" i="2" s="1"/>
  <c r="J326" i="8"/>
  <c r="J51" i="1" s="1"/>
  <c r="B35" i="4" s="1"/>
  <c r="M285" i="2"/>
  <c r="O285" i="2" s="1"/>
  <c r="M289" i="2"/>
  <c r="O289" i="2" s="1"/>
  <c r="M418" i="7"/>
  <c r="L99" i="7" s="1"/>
  <c r="M277" i="2"/>
  <c r="O277" i="2" s="1"/>
  <c r="M267" i="2"/>
  <c r="O267" i="2" s="1"/>
  <c r="R267" i="2" s="1"/>
  <c r="X264" i="2"/>
  <c r="M8" i="2" s="1"/>
  <c r="M398" i="7"/>
  <c r="L79" i="7" s="1"/>
  <c r="I340" i="8"/>
  <c r="J340" i="8" s="1"/>
  <c r="J65" i="1" s="1"/>
  <c r="M421" i="7"/>
  <c r="L102" i="7" s="1"/>
  <c r="M279" i="2"/>
  <c r="O279" i="2" s="1"/>
  <c r="M269" i="2"/>
  <c r="O269" i="2" s="1"/>
  <c r="J72" i="7"/>
  <c r="B393" i="7" s="1"/>
  <c r="C393" i="7" s="1"/>
  <c r="D393" i="7" s="1"/>
  <c r="E393" i="7" s="1"/>
  <c r="M278" i="2"/>
  <c r="O278" i="2" s="1"/>
  <c r="M260" i="2"/>
  <c r="O260" i="2" s="1"/>
  <c r="M286" i="2"/>
  <c r="O286" i="2" s="1"/>
  <c r="I38" i="1"/>
  <c r="I334" i="8"/>
  <c r="I59" i="1" s="1"/>
  <c r="C1194" i="4"/>
  <c r="J1194" i="4" s="1"/>
  <c r="P294" i="2"/>
  <c r="Q294" i="2" s="1"/>
  <c r="M416" i="7"/>
  <c r="L97" i="7" s="1"/>
  <c r="M404" i="7"/>
  <c r="L85" i="7" s="1"/>
  <c r="M420" i="7"/>
  <c r="L101" i="7" s="1"/>
  <c r="M408" i="7"/>
  <c r="L89" i="7" s="1"/>
  <c r="M427" i="7"/>
  <c r="L108" i="7" s="1"/>
  <c r="M422" i="7"/>
  <c r="L103" i="7" s="1"/>
  <c r="J53" i="8"/>
  <c r="A361" i="8" s="1"/>
  <c r="B361" i="8" s="1"/>
  <c r="J62" i="8"/>
  <c r="A370" i="8" s="1"/>
  <c r="B370" i="8" s="1"/>
  <c r="J43" i="8"/>
  <c r="A351" i="8" s="1"/>
  <c r="B351" i="8" s="1"/>
  <c r="J54" i="8"/>
  <c r="A362" i="8" s="1"/>
  <c r="C362" i="8" s="1"/>
  <c r="M262" i="2"/>
  <c r="O262" i="2" s="1"/>
  <c r="Q266" i="2"/>
  <c r="J316" i="8"/>
  <c r="J41" i="1" s="1"/>
  <c r="B25" i="4" s="1"/>
  <c r="M413" i="7"/>
  <c r="L94" i="7" s="1"/>
  <c r="M412" i="7"/>
  <c r="L93" i="7" s="1"/>
  <c r="M400" i="7"/>
  <c r="L81" i="7" s="1"/>
  <c r="M402" i="7"/>
  <c r="L83" i="7" s="1"/>
  <c r="M428" i="7"/>
  <c r="L109" i="7" s="1"/>
  <c r="M407" i="7"/>
  <c r="L88" i="7" s="1"/>
  <c r="M326" i="7"/>
  <c r="L3" i="7" s="1"/>
  <c r="M282" i="2"/>
  <c r="O282" i="2" s="1"/>
  <c r="I70" i="1"/>
  <c r="G239" i="5"/>
  <c r="L276" i="5" s="1"/>
  <c r="N276" i="5" s="1"/>
  <c r="I343" i="8"/>
  <c r="Q268" i="2"/>
  <c r="X267" i="2"/>
  <c r="M11" i="2" s="1"/>
  <c r="M276" i="2"/>
  <c r="O276" i="2" s="1"/>
  <c r="O29" i="6"/>
  <c r="O21" i="6"/>
  <c r="O13" i="6"/>
  <c r="O5" i="6"/>
  <c r="O2" i="6"/>
  <c r="O20" i="6"/>
  <c r="O9" i="6"/>
  <c r="O14" i="6"/>
  <c r="O6" i="6"/>
  <c r="O3" i="6"/>
  <c r="O32" i="6"/>
  <c r="O24" i="6"/>
  <c r="O16" i="6"/>
  <c r="O8" i="6"/>
  <c r="O26" i="6"/>
  <c r="O18" i="6"/>
  <c r="O10" i="6"/>
  <c r="O28" i="6"/>
  <c r="O12" i="6"/>
  <c r="O4" i="6"/>
  <c r="O25" i="6"/>
  <c r="O17" i="6"/>
  <c r="O30" i="6"/>
  <c r="O22" i="6"/>
  <c r="O27" i="6"/>
  <c r="O19" i="6"/>
  <c r="O11" i="6"/>
  <c r="O31" i="6"/>
  <c r="O23" i="6"/>
  <c r="O15" i="6"/>
  <c r="O7" i="6"/>
  <c r="I66" i="1"/>
  <c r="M424" i="7"/>
  <c r="L105" i="7" s="1"/>
  <c r="M399" i="7"/>
  <c r="L80" i="7" s="1"/>
  <c r="M419" i="7"/>
  <c r="L100" i="7" s="1"/>
  <c r="M425" i="7"/>
  <c r="L106" i="7" s="1"/>
  <c r="M411" i="7"/>
  <c r="L92" i="7" s="1"/>
  <c r="M403" i="7"/>
  <c r="L84" i="7" s="1"/>
  <c r="I335" i="8"/>
  <c r="J61" i="8"/>
  <c r="A369" i="8" s="1"/>
  <c r="C369" i="8" s="1"/>
  <c r="M280" i="2"/>
  <c r="O280" i="2" s="1"/>
  <c r="C704" i="4"/>
  <c r="J704" i="4" s="1"/>
  <c r="M397" i="7"/>
  <c r="L78" i="7" s="1"/>
  <c r="O48" i="6"/>
  <c r="O49" i="6"/>
  <c r="O51" i="6"/>
  <c r="O53" i="6"/>
  <c r="O55" i="6"/>
  <c r="O57" i="6"/>
  <c r="O59" i="6"/>
  <c r="O61" i="6"/>
  <c r="O63" i="6"/>
  <c r="O65" i="6"/>
  <c r="O67" i="6"/>
  <c r="O69" i="6"/>
  <c r="O71" i="6"/>
  <c r="O73" i="6"/>
  <c r="O75" i="6"/>
  <c r="O77" i="6"/>
  <c r="O79" i="6"/>
  <c r="O50" i="6"/>
  <c r="O52" i="6"/>
  <c r="O54" i="6"/>
  <c r="O56" i="6"/>
  <c r="O58" i="6"/>
  <c r="O60" i="6"/>
  <c r="O62" i="6"/>
  <c r="O64" i="6"/>
  <c r="O66" i="6"/>
  <c r="O68" i="6"/>
  <c r="O70" i="6"/>
  <c r="O72" i="6"/>
  <c r="O74" i="6"/>
  <c r="O76" i="6"/>
  <c r="O78" i="6"/>
  <c r="O93" i="6"/>
  <c r="U337" i="2"/>
  <c r="K85" i="2" s="1"/>
  <c r="V337" i="2"/>
  <c r="X338" i="2"/>
  <c r="Q338" i="2"/>
  <c r="R338" i="2" s="1"/>
  <c r="M85" i="2"/>
  <c r="T337" i="2"/>
  <c r="W337" i="2" s="1"/>
  <c r="G114" i="1"/>
  <c r="L84" i="2"/>
  <c r="H114" i="1" s="1"/>
  <c r="S339" i="2"/>
  <c r="P339" i="2" s="1"/>
  <c r="S269" i="2"/>
  <c r="M346" i="7"/>
  <c r="L23" i="7" s="1"/>
  <c r="M336" i="7"/>
  <c r="L13" i="7" s="1"/>
  <c r="L294" i="2"/>
  <c r="J43" i="7"/>
  <c r="B364" i="7" s="1"/>
  <c r="C364" i="7" s="1"/>
  <c r="D364" i="7" s="1"/>
  <c r="E364" i="7" s="1"/>
  <c r="J62" i="7"/>
  <c r="B383" i="7" s="1"/>
  <c r="C383" i="7" s="1"/>
  <c r="D383" i="7" s="1"/>
  <c r="E383" i="7" s="1"/>
  <c r="J54" i="7"/>
  <c r="B375" i="7" s="1"/>
  <c r="C375" i="7" s="1"/>
  <c r="D375" i="7" s="1"/>
  <c r="E375" i="7" s="1"/>
  <c r="J46" i="7"/>
  <c r="B367" i="7" s="1"/>
  <c r="C367" i="7" s="1"/>
  <c r="D367" i="7" s="1"/>
  <c r="E367" i="7" s="1"/>
  <c r="C1440" i="4"/>
  <c r="J1440" i="4" s="1"/>
  <c r="M261" i="2"/>
  <c r="O261" i="2" s="1"/>
  <c r="M358" i="7"/>
  <c r="L35" i="7" s="1"/>
  <c r="M272" i="2"/>
  <c r="O272" i="2" s="1"/>
  <c r="M291" i="2"/>
  <c r="O291" i="2" s="1"/>
  <c r="M354" i="7"/>
  <c r="L31" i="7" s="1"/>
  <c r="M341" i="7"/>
  <c r="L18" i="7" s="1"/>
  <c r="G63" i="5"/>
  <c r="L100" i="5" s="1"/>
  <c r="N100" i="5" s="1"/>
  <c r="G210" i="5"/>
  <c r="L247" i="5" s="1"/>
  <c r="N247" i="5" s="1"/>
  <c r="G57" i="5"/>
  <c r="L94" i="5" s="1"/>
  <c r="N94" i="5" s="1"/>
  <c r="M265" i="2"/>
  <c r="O265" i="2" s="1"/>
  <c r="C949" i="4"/>
  <c r="J949" i="4" s="1"/>
  <c r="G74" i="5"/>
  <c r="L111" i="5" s="1"/>
  <c r="N111" i="5" s="1"/>
  <c r="G1584" i="4"/>
  <c r="J1584" i="4" s="1"/>
  <c r="M1584" i="4" s="1"/>
  <c r="D1658" i="4" s="1"/>
  <c r="E1584" i="4"/>
  <c r="H1584" i="4" s="1"/>
  <c r="K1584" i="4" s="1"/>
  <c r="N1584" i="4" s="1"/>
  <c r="E1658" i="4" s="1"/>
  <c r="G847" i="4"/>
  <c r="J847" i="4" s="1"/>
  <c r="M847" i="4" s="1"/>
  <c r="D921" i="4" s="1"/>
  <c r="E847" i="4"/>
  <c r="H847" i="4" s="1"/>
  <c r="K847" i="4" s="1"/>
  <c r="N847" i="4" s="1"/>
  <c r="E921" i="4" s="1"/>
  <c r="E346" i="4"/>
  <c r="H346" i="4" s="1"/>
  <c r="K346" i="4" s="1"/>
  <c r="N346" i="4" s="1"/>
  <c r="E421" i="4" s="1"/>
  <c r="G346" i="4"/>
  <c r="J346" i="4" s="1"/>
  <c r="M346" i="4" s="1"/>
  <c r="D421" i="4" s="1"/>
  <c r="G96" i="4"/>
  <c r="J96" i="4" s="1"/>
  <c r="M96" i="4" s="1"/>
  <c r="D172" i="4" s="1"/>
  <c r="E96" i="4"/>
  <c r="H96" i="4" s="1"/>
  <c r="K96" i="4" s="1"/>
  <c r="N96" i="4" s="1"/>
  <c r="E172" i="4" s="1"/>
  <c r="G1327" i="4"/>
  <c r="J1327" i="4" s="1"/>
  <c r="M1327" i="4" s="1"/>
  <c r="E1327" i="4"/>
  <c r="H1327" i="4" s="1"/>
  <c r="K1327" i="4" s="1"/>
  <c r="N1327" i="4" s="1"/>
  <c r="E365" i="4"/>
  <c r="H365" i="4" s="1"/>
  <c r="K365" i="4" s="1"/>
  <c r="N365" i="4" s="1"/>
  <c r="E440" i="4" s="1"/>
  <c r="G365" i="4"/>
  <c r="J365" i="4" s="1"/>
  <c r="M365" i="4" s="1"/>
  <c r="D440" i="4" s="1"/>
  <c r="G115" i="4"/>
  <c r="J115" i="4" s="1"/>
  <c r="M115" i="4" s="1"/>
  <c r="D191" i="4" s="1"/>
  <c r="E115" i="4"/>
  <c r="H115" i="4" s="1"/>
  <c r="K115" i="4" s="1"/>
  <c r="N115" i="4" s="1"/>
  <c r="E191" i="4" s="1"/>
  <c r="E1100" i="4"/>
  <c r="H1100" i="4" s="1"/>
  <c r="K1100" i="4" s="1"/>
  <c r="N1100" i="4" s="1"/>
  <c r="E1174" i="4" s="1"/>
  <c r="G1100" i="4"/>
  <c r="J1100" i="4" s="1"/>
  <c r="M1100" i="4" s="1"/>
  <c r="D1174" i="4" s="1"/>
  <c r="G107" i="4"/>
  <c r="J107" i="4" s="1"/>
  <c r="M107" i="4" s="1"/>
  <c r="D183" i="4" s="1"/>
  <c r="E107" i="4"/>
  <c r="H107" i="4" s="1"/>
  <c r="K107" i="4" s="1"/>
  <c r="N107" i="4" s="1"/>
  <c r="E183" i="4" s="1"/>
  <c r="G357" i="4"/>
  <c r="J357" i="4" s="1"/>
  <c r="M357" i="4" s="1"/>
  <c r="D432" i="4" s="1"/>
  <c r="E357" i="4"/>
  <c r="H357" i="4" s="1"/>
  <c r="K357" i="4" s="1"/>
  <c r="N357" i="4" s="1"/>
  <c r="E432" i="4" s="1"/>
  <c r="G1092" i="4"/>
  <c r="J1092" i="4" s="1"/>
  <c r="M1092" i="4" s="1"/>
  <c r="D1166" i="4" s="1"/>
  <c r="E1092" i="4"/>
  <c r="H1092" i="4" s="1"/>
  <c r="K1092" i="4" s="1"/>
  <c r="N1092" i="4" s="1"/>
  <c r="E1166" i="4" s="1"/>
  <c r="G1081" i="4"/>
  <c r="J1081" i="4" s="1"/>
  <c r="M1081" i="4" s="1"/>
  <c r="E1081" i="4"/>
  <c r="H1081" i="4" s="1"/>
  <c r="K1081" i="4" s="1"/>
  <c r="N1081" i="4" s="1"/>
  <c r="E591" i="4"/>
  <c r="H591" i="4" s="1"/>
  <c r="K591" i="4" s="1"/>
  <c r="N591" i="4" s="1"/>
  <c r="G591" i="4"/>
  <c r="J591" i="4" s="1"/>
  <c r="M591" i="4" s="1"/>
  <c r="G222" i="5"/>
  <c r="L259" i="5" s="1"/>
  <c r="N259" i="5" s="1"/>
  <c r="G62" i="5"/>
  <c r="L99" i="5" s="1"/>
  <c r="N99" i="5" s="1"/>
  <c r="G65" i="5"/>
  <c r="L102" i="5" s="1"/>
  <c r="N102" i="5" s="1"/>
  <c r="G214" i="5"/>
  <c r="L251" i="5" s="1"/>
  <c r="N251" i="5" s="1"/>
  <c r="M268" i="2"/>
  <c r="O268" i="2" s="1"/>
  <c r="M274" i="2"/>
  <c r="O274" i="2" s="1"/>
  <c r="G220" i="5"/>
  <c r="L257" i="5" s="1"/>
  <c r="N257" i="5" s="1"/>
  <c r="G209" i="5"/>
  <c r="L246" i="5" s="1"/>
  <c r="N246" i="5" s="1"/>
  <c r="E1338" i="4"/>
  <c r="H1338" i="4" s="1"/>
  <c r="K1338" i="4" s="1"/>
  <c r="N1338" i="4" s="1"/>
  <c r="E1412" i="4" s="1"/>
  <c r="G1338" i="4"/>
  <c r="J1338" i="4" s="1"/>
  <c r="M1338" i="4" s="1"/>
  <c r="D1412" i="4" s="1"/>
  <c r="G1573" i="4"/>
  <c r="J1573" i="4" s="1"/>
  <c r="M1573" i="4" s="1"/>
  <c r="E1573" i="4"/>
  <c r="H1573" i="4" s="1"/>
  <c r="K1573" i="4" s="1"/>
  <c r="N1573" i="4" s="1"/>
  <c r="E855" i="4"/>
  <c r="H855" i="4" s="1"/>
  <c r="K855" i="4" s="1"/>
  <c r="N855" i="4" s="1"/>
  <c r="E929" i="4" s="1"/>
  <c r="G855" i="4"/>
  <c r="J855" i="4" s="1"/>
  <c r="M855" i="4" s="1"/>
  <c r="D929" i="4" s="1"/>
  <c r="E1603" i="4"/>
  <c r="H1603" i="4" s="1"/>
  <c r="K1603" i="4" s="1"/>
  <c r="N1603" i="4" s="1"/>
  <c r="E1677" i="4" s="1"/>
  <c r="G1603" i="4"/>
  <c r="J1603" i="4" s="1"/>
  <c r="M1603" i="4" s="1"/>
  <c r="D1677" i="4" s="1"/>
  <c r="G621" i="4"/>
  <c r="J621" i="4" s="1"/>
  <c r="M621" i="4" s="1"/>
  <c r="D695" i="4" s="1"/>
  <c r="E621" i="4"/>
  <c r="H621" i="4" s="1"/>
  <c r="K621" i="4" s="1"/>
  <c r="N621" i="4" s="1"/>
  <c r="E695" i="4" s="1"/>
  <c r="E866" i="4"/>
  <c r="H866" i="4" s="1"/>
  <c r="K866" i="4" s="1"/>
  <c r="N866" i="4" s="1"/>
  <c r="E940" i="4" s="1"/>
  <c r="G866" i="4"/>
  <c r="J866" i="4" s="1"/>
  <c r="M866" i="4" s="1"/>
  <c r="D940" i="4" s="1"/>
  <c r="E602" i="4"/>
  <c r="H602" i="4" s="1"/>
  <c r="K602" i="4" s="1"/>
  <c r="N602" i="4" s="1"/>
  <c r="E676" i="4" s="1"/>
  <c r="G602" i="4"/>
  <c r="J602" i="4" s="1"/>
  <c r="M602" i="4" s="1"/>
  <c r="D676" i="4" s="1"/>
  <c r="G836" i="4"/>
  <c r="J836" i="4" s="1"/>
  <c r="M836" i="4" s="1"/>
  <c r="E836" i="4"/>
  <c r="H836" i="4" s="1"/>
  <c r="K836" i="4" s="1"/>
  <c r="N836" i="4" s="1"/>
  <c r="E1592" i="4"/>
  <c r="H1592" i="4" s="1"/>
  <c r="K1592" i="4" s="1"/>
  <c r="N1592" i="4" s="1"/>
  <c r="E1666" i="4" s="1"/>
  <c r="G1592" i="4"/>
  <c r="J1592" i="4" s="1"/>
  <c r="M1592" i="4" s="1"/>
  <c r="D1666" i="4" s="1"/>
  <c r="E1346" i="4"/>
  <c r="H1346" i="4" s="1"/>
  <c r="K1346" i="4" s="1"/>
  <c r="N1346" i="4" s="1"/>
  <c r="E1420" i="4" s="1"/>
  <c r="G1346" i="4"/>
  <c r="J1346" i="4" s="1"/>
  <c r="M1346" i="4" s="1"/>
  <c r="D1420" i="4" s="1"/>
  <c r="E610" i="4"/>
  <c r="H610" i="4" s="1"/>
  <c r="K610" i="4" s="1"/>
  <c r="N610" i="4" s="1"/>
  <c r="E684" i="4" s="1"/>
  <c r="G610" i="4"/>
  <c r="J610" i="4" s="1"/>
  <c r="M610" i="4" s="1"/>
  <c r="D684" i="4" s="1"/>
  <c r="G126" i="4"/>
  <c r="J126" i="4" s="1"/>
  <c r="M126" i="4" s="1"/>
  <c r="D202" i="4" s="1"/>
  <c r="E126" i="4"/>
  <c r="H126" i="4" s="1"/>
  <c r="K126" i="4" s="1"/>
  <c r="N126" i="4" s="1"/>
  <c r="E202" i="4" s="1"/>
  <c r="E1111" i="4"/>
  <c r="H1111" i="4" s="1"/>
  <c r="K1111" i="4" s="1"/>
  <c r="N1111" i="4" s="1"/>
  <c r="E1185" i="4" s="1"/>
  <c r="G1111" i="4"/>
  <c r="J1111" i="4" s="1"/>
  <c r="M1111" i="4" s="1"/>
  <c r="D1185" i="4" s="1"/>
  <c r="E1357" i="4"/>
  <c r="H1357" i="4" s="1"/>
  <c r="K1357" i="4" s="1"/>
  <c r="N1357" i="4" s="1"/>
  <c r="E1431" i="4" s="1"/>
  <c r="G1357" i="4"/>
  <c r="J1357" i="4" s="1"/>
  <c r="M1357" i="4" s="1"/>
  <c r="D1431" i="4" s="1"/>
  <c r="G376" i="4"/>
  <c r="J376" i="4" s="1"/>
  <c r="M376" i="4" s="1"/>
  <c r="D451" i="4" s="1"/>
  <c r="E376" i="4"/>
  <c r="H376" i="4" s="1"/>
  <c r="K376" i="4" s="1"/>
  <c r="N376" i="4" s="1"/>
  <c r="E451" i="4" s="1"/>
  <c r="G56" i="5"/>
  <c r="L93" i="5" s="1"/>
  <c r="N93" i="5" s="1"/>
  <c r="G211" i="5"/>
  <c r="L248" i="5" s="1"/>
  <c r="N248" i="5" s="1"/>
  <c r="M349" i="7"/>
  <c r="L26" i="7" s="1"/>
  <c r="M347" i="7"/>
  <c r="L24" i="7" s="1"/>
  <c r="G219" i="5"/>
  <c r="L256" i="5" s="1"/>
  <c r="N256" i="5" s="1"/>
  <c r="G215" i="5"/>
  <c r="L252" i="5" s="1"/>
  <c r="N252" i="5" s="1"/>
  <c r="M328" i="7"/>
  <c r="L5" i="7" s="1"/>
  <c r="G66" i="5"/>
  <c r="L103" i="5" s="1"/>
  <c r="N103" i="5" s="1"/>
  <c r="G228" i="5"/>
  <c r="L265" i="5" s="1"/>
  <c r="N265" i="5" s="1"/>
  <c r="C1686" i="4"/>
  <c r="J1686" i="4" s="1"/>
  <c r="G293" i="3"/>
  <c r="M4" i="3" s="1"/>
  <c r="K4" i="3"/>
  <c r="L4" i="3" s="1"/>
  <c r="G318" i="3"/>
  <c r="M29" i="3" s="1"/>
  <c r="K29" i="3"/>
  <c r="L29" i="3" s="1"/>
  <c r="J329" i="8"/>
  <c r="J54" i="1" s="1"/>
  <c r="J314" i="8"/>
  <c r="J39" i="1" s="1"/>
  <c r="I39" i="1"/>
  <c r="J319" i="8"/>
  <c r="J44" i="1" s="1"/>
  <c r="I44" i="1"/>
  <c r="I357" i="7"/>
  <c r="L357" i="7" s="1"/>
  <c r="K17" i="3"/>
  <c r="L17" i="3" s="1"/>
  <c r="G306" i="3"/>
  <c r="M17" i="3" s="1"/>
  <c r="G1335" i="4"/>
  <c r="J1335" i="4" s="1"/>
  <c r="M1335" i="4" s="1"/>
  <c r="D1409" i="4" s="1"/>
  <c r="E1335" i="4"/>
  <c r="H1335" i="4" s="1"/>
  <c r="K1335" i="4" s="1"/>
  <c r="N1335" i="4" s="1"/>
  <c r="E1409" i="4" s="1"/>
  <c r="E104" i="4"/>
  <c r="H104" i="4" s="1"/>
  <c r="K104" i="4" s="1"/>
  <c r="N104" i="4" s="1"/>
  <c r="G104" i="4"/>
  <c r="J104" i="4" s="1"/>
  <c r="M104" i="4" s="1"/>
  <c r="D180" i="4" s="1"/>
  <c r="G362" i="4"/>
  <c r="J362" i="4" s="1"/>
  <c r="M362" i="4" s="1"/>
  <c r="E362" i="4"/>
  <c r="H362" i="4" s="1"/>
  <c r="K362" i="4" s="1"/>
  <c r="N362" i="4" s="1"/>
  <c r="E852" i="4"/>
  <c r="H852" i="4" s="1"/>
  <c r="K852" i="4" s="1"/>
  <c r="N852" i="4" s="1"/>
  <c r="E926" i="4" s="1"/>
  <c r="G852" i="4"/>
  <c r="J852" i="4" s="1"/>
  <c r="M852" i="4" s="1"/>
  <c r="D926" i="4" s="1"/>
  <c r="E348" i="4"/>
  <c r="H348" i="4" s="1"/>
  <c r="K348" i="4" s="1"/>
  <c r="N348" i="4" s="1"/>
  <c r="G348" i="4"/>
  <c r="J348" i="4" s="1"/>
  <c r="M348" i="4" s="1"/>
  <c r="G1575" i="4"/>
  <c r="J1575" i="4" s="1"/>
  <c r="M1575" i="4" s="1"/>
  <c r="D1649" i="4" s="1"/>
  <c r="E1575" i="4"/>
  <c r="H1575" i="4" s="1"/>
  <c r="K1575" i="4" s="1"/>
  <c r="N1575" i="4" s="1"/>
  <c r="E1649" i="4" s="1"/>
  <c r="G838" i="4"/>
  <c r="J838" i="4" s="1"/>
  <c r="M838" i="4" s="1"/>
  <c r="D912" i="4" s="1"/>
  <c r="E838" i="4"/>
  <c r="H838" i="4" s="1"/>
  <c r="K838" i="4" s="1"/>
  <c r="N838" i="4" s="1"/>
  <c r="E912" i="4" s="1"/>
  <c r="E100" i="4"/>
  <c r="H100" i="4" s="1"/>
  <c r="K100" i="4" s="1"/>
  <c r="N100" i="4" s="1"/>
  <c r="G100" i="4"/>
  <c r="J100" i="4" s="1"/>
  <c r="M100" i="4" s="1"/>
  <c r="E1590" i="4"/>
  <c r="H1590" i="4" s="1"/>
  <c r="K1590" i="4" s="1"/>
  <c r="N1590" i="4" s="1"/>
  <c r="E1664" i="4" s="1"/>
  <c r="G1590" i="4"/>
  <c r="J1590" i="4" s="1"/>
  <c r="M1590" i="4" s="1"/>
  <c r="D1664" i="4" s="1"/>
  <c r="E363" i="4"/>
  <c r="H363" i="4" s="1"/>
  <c r="K363" i="4" s="1"/>
  <c r="N363" i="4" s="1"/>
  <c r="G363" i="4"/>
  <c r="J363" i="4" s="1"/>
  <c r="M363" i="4" s="1"/>
  <c r="C950" i="4"/>
  <c r="J950" i="4" s="1"/>
  <c r="C967" i="4"/>
  <c r="J967" i="4" s="1"/>
  <c r="C959" i="4"/>
  <c r="J959" i="4" s="1"/>
  <c r="C966" i="4"/>
  <c r="J966" i="4" s="1"/>
  <c r="C968" i="4"/>
  <c r="J968" i="4" s="1"/>
  <c r="C960" i="4"/>
  <c r="J960" i="4" s="1"/>
  <c r="C951" i="4"/>
  <c r="J951" i="4" s="1"/>
  <c r="J319" i="2"/>
  <c r="I319" i="2"/>
  <c r="C319" i="2"/>
  <c r="E319" i="2" s="1"/>
  <c r="G319" i="2"/>
  <c r="F319" i="2"/>
  <c r="I323" i="2"/>
  <c r="C323" i="2"/>
  <c r="G323" i="2"/>
  <c r="F323" i="2"/>
  <c r="J323" i="2"/>
  <c r="L329" i="7"/>
  <c r="M329" i="7"/>
  <c r="L6" i="7" s="1"/>
  <c r="L355" i="7"/>
  <c r="M355" i="7"/>
  <c r="L32" i="7" s="1"/>
  <c r="L337" i="7"/>
  <c r="M337" i="7"/>
  <c r="L14" i="7" s="1"/>
  <c r="F845" i="4"/>
  <c r="I845" i="4" s="1"/>
  <c r="L845" i="4" s="1"/>
  <c r="C919" i="4" s="1"/>
  <c r="L918" i="4" s="1"/>
  <c r="D845" i="4"/>
  <c r="D1090" i="4"/>
  <c r="F1090" i="4"/>
  <c r="I1090" i="4" s="1"/>
  <c r="L1090" i="4" s="1"/>
  <c r="C1164" i="4" s="1"/>
  <c r="L1163" i="4" s="1"/>
  <c r="F1582" i="4"/>
  <c r="I1582" i="4" s="1"/>
  <c r="L1582" i="4" s="1"/>
  <c r="C1656" i="4" s="1"/>
  <c r="L1655" i="4" s="1"/>
  <c r="D1582" i="4"/>
  <c r="D603" i="4"/>
  <c r="F603" i="4"/>
  <c r="I603" i="4" s="1"/>
  <c r="L603" i="4" s="1"/>
  <c r="F1339" i="4"/>
  <c r="I1339" i="4" s="1"/>
  <c r="L1339" i="4" s="1"/>
  <c r="C1413" i="4" s="1"/>
  <c r="L1412" i="4" s="1"/>
  <c r="D1339" i="4"/>
  <c r="D108" i="4"/>
  <c r="F108" i="4"/>
  <c r="I108" i="4" s="1"/>
  <c r="L108" i="4" s="1"/>
  <c r="C184" i="4" s="1"/>
  <c r="L183" i="4" s="1"/>
  <c r="D358" i="4"/>
  <c r="F358" i="4"/>
  <c r="I358" i="4" s="1"/>
  <c r="L358" i="4" s="1"/>
  <c r="C433" i="4" s="1"/>
  <c r="L432" i="4" s="1"/>
  <c r="D614" i="4"/>
  <c r="F614" i="4"/>
  <c r="I614" i="4" s="1"/>
  <c r="L614" i="4" s="1"/>
  <c r="C688" i="4" s="1"/>
  <c r="L687" i="4" s="1"/>
  <c r="D1596" i="4"/>
  <c r="F1596" i="4"/>
  <c r="I1596" i="4" s="1"/>
  <c r="L1596" i="4" s="1"/>
  <c r="C1670" i="4" s="1"/>
  <c r="L1669" i="4" s="1"/>
  <c r="D119" i="4"/>
  <c r="F119" i="4"/>
  <c r="I119" i="4" s="1"/>
  <c r="L119" i="4" s="1"/>
  <c r="C195" i="4" s="1"/>
  <c r="L194" i="4" s="1"/>
  <c r="D1109" i="4"/>
  <c r="F1109" i="4"/>
  <c r="I1109" i="4" s="1"/>
  <c r="L1109" i="4" s="1"/>
  <c r="C1183" i="4" s="1"/>
  <c r="L1182" i="4" s="1"/>
  <c r="F1355" i="4"/>
  <c r="I1355" i="4" s="1"/>
  <c r="L1355" i="4" s="1"/>
  <c r="C1429" i="4" s="1"/>
  <c r="L1428" i="4" s="1"/>
  <c r="D1355" i="4"/>
  <c r="D1601" i="4"/>
  <c r="F1601" i="4"/>
  <c r="I1601" i="4" s="1"/>
  <c r="L1601" i="4" s="1"/>
  <c r="C1675" i="4" s="1"/>
  <c r="L1674" i="4" s="1"/>
  <c r="F374" i="4"/>
  <c r="I374" i="4" s="1"/>
  <c r="L374" i="4" s="1"/>
  <c r="D374" i="4"/>
  <c r="F1359" i="4"/>
  <c r="I1359" i="4" s="1"/>
  <c r="L1359" i="4" s="1"/>
  <c r="C1433" i="4" s="1"/>
  <c r="L1432" i="4" s="1"/>
  <c r="D1359" i="4"/>
  <c r="D1605" i="4"/>
  <c r="F1605" i="4"/>
  <c r="I1605" i="4" s="1"/>
  <c r="L1605" i="4" s="1"/>
  <c r="C1679" i="4" s="1"/>
  <c r="L1678" i="4" s="1"/>
  <c r="D623" i="4"/>
  <c r="F623" i="4"/>
  <c r="I623" i="4" s="1"/>
  <c r="L623" i="4" s="1"/>
  <c r="C697" i="4" s="1"/>
  <c r="L696" i="4" s="1"/>
  <c r="F1594" i="4"/>
  <c r="I1594" i="4" s="1"/>
  <c r="L1594" i="4" s="1"/>
  <c r="C1668" i="4" s="1"/>
  <c r="L1667" i="4" s="1"/>
  <c r="D1594" i="4"/>
  <c r="D857" i="4"/>
  <c r="F857" i="4"/>
  <c r="I857" i="4" s="1"/>
  <c r="L857" i="4" s="1"/>
  <c r="C931" i="4" s="1"/>
  <c r="L930" i="4" s="1"/>
  <c r="F1348" i="4"/>
  <c r="I1348" i="4" s="1"/>
  <c r="L1348" i="4" s="1"/>
  <c r="C1422" i="4" s="1"/>
  <c r="L1421" i="4" s="1"/>
  <c r="D1348" i="4"/>
  <c r="D367" i="4"/>
  <c r="F367" i="4"/>
  <c r="I367" i="4" s="1"/>
  <c r="L367" i="4" s="1"/>
  <c r="C442" i="4" s="1"/>
  <c r="L441" i="4" s="1"/>
  <c r="F615" i="4"/>
  <c r="I615" i="4" s="1"/>
  <c r="L615" i="4" s="1"/>
  <c r="C689" i="4" s="1"/>
  <c r="L688" i="4" s="1"/>
  <c r="D615" i="4"/>
  <c r="D1105" i="4"/>
  <c r="F1105" i="4"/>
  <c r="I1105" i="4" s="1"/>
  <c r="L1105" i="4" s="1"/>
  <c r="C1179" i="4" s="1"/>
  <c r="L1178" i="4" s="1"/>
  <c r="D1597" i="4"/>
  <c r="F1597" i="4"/>
  <c r="I1597" i="4" s="1"/>
  <c r="L1597" i="4" s="1"/>
  <c r="C1671" i="4" s="1"/>
  <c r="L1670" i="4" s="1"/>
  <c r="F1354" i="4"/>
  <c r="I1354" i="4" s="1"/>
  <c r="L1354" i="4" s="1"/>
  <c r="C1428" i="4" s="1"/>
  <c r="L1427" i="4" s="1"/>
  <c r="D1354" i="4"/>
  <c r="D1108" i="4"/>
  <c r="F1108" i="4"/>
  <c r="I1108" i="4" s="1"/>
  <c r="L1108" i="4" s="1"/>
  <c r="C1182" i="4" s="1"/>
  <c r="L1181" i="4" s="1"/>
  <c r="F1600" i="4"/>
  <c r="I1600" i="4" s="1"/>
  <c r="L1600" i="4" s="1"/>
  <c r="C1674" i="4" s="1"/>
  <c r="L1673" i="4" s="1"/>
  <c r="D1600" i="4"/>
  <c r="D373" i="4"/>
  <c r="F373" i="4"/>
  <c r="I373" i="4" s="1"/>
  <c r="L373" i="4" s="1"/>
  <c r="D1347" i="4"/>
  <c r="F1347" i="4"/>
  <c r="I1347" i="4" s="1"/>
  <c r="L1347" i="4" s="1"/>
  <c r="C1421" i="4" s="1"/>
  <c r="L1420" i="4" s="1"/>
  <c r="D1101" i="4"/>
  <c r="F1101" i="4"/>
  <c r="I1101" i="4" s="1"/>
  <c r="L1101" i="4" s="1"/>
  <c r="C1175" i="4" s="1"/>
  <c r="L1174" i="4" s="1"/>
  <c r="D116" i="4"/>
  <c r="F116" i="4"/>
  <c r="I116" i="4" s="1"/>
  <c r="L116" i="4" s="1"/>
  <c r="C192" i="4" s="1"/>
  <c r="L191" i="4" s="1"/>
  <c r="D118" i="4"/>
  <c r="F118" i="4"/>
  <c r="I118" i="4" s="1"/>
  <c r="L118" i="4" s="1"/>
  <c r="C194" i="4" s="1"/>
  <c r="L193" i="4" s="1"/>
  <c r="F1349" i="4"/>
  <c r="I1349" i="4" s="1"/>
  <c r="L1349" i="4" s="1"/>
  <c r="C1423" i="4" s="1"/>
  <c r="L1422" i="4" s="1"/>
  <c r="D1349" i="4"/>
  <c r="F613" i="4"/>
  <c r="I613" i="4" s="1"/>
  <c r="L613" i="4" s="1"/>
  <c r="C687" i="4" s="1"/>
  <c r="L686" i="4" s="1"/>
  <c r="D613" i="4"/>
  <c r="D368" i="4"/>
  <c r="F368" i="4"/>
  <c r="I368" i="4" s="1"/>
  <c r="L368" i="4" s="1"/>
  <c r="C443" i="4" s="1"/>
  <c r="L442" i="4" s="1"/>
  <c r="D616" i="4"/>
  <c r="F616" i="4"/>
  <c r="I616" i="4" s="1"/>
  <c r="L616" i="4" s="1"/>
  <c r="C690" i="4" s="1"/>
  <c r="L689" i="4" s="1"/>
  <c r="D1106" i="4"/>
  <c r="F1106" i="4"/>
  <c r="I1106" i="4" s="1"/>
  <c r="L1106" i="4" s="1"/>
  <c r="C1180" i="4" s="1"/>
  <c r="L1179" i="4" s="1"/>
  <c r="D861" i="4"/>
  <c r="F861" i="4"/>
  <c r="I861" i="4" s="1"/>
  <c r="L861" i="4" s="1"/>
  <c r="C935" i="4" s="1"/>
  <c r="L934" i="4" s="1"/>
  <c r="F1602" i="4"/>
  <c r="I1602" i="4" s="1"/>
  <c r="L1602" i="4" s="1"/>
  <c r="C1676" i="4" s="1"/>
  <c r="L1675" i="4" s="1"/>
  <c r="D1602" i="4"/>
  <c r="D620" i="4"/>
  <c r="F620" i="4"/>
  <c r="I620" i="4" s="1"/>
  <c r="L620" i="4" s="1"/>
  <c r="C694" i="4" s="1"/>
  <c r="L693" i="4" s="1"/>
  <c r="D865" i="4"/>
  <c r="F865" i="4"/>
  <c r="I865" i="4" s="1"/>
  <c r="L865" i="4" s="1"/>
  <c r="C939" i="4" s="1"/>
  <c r="L938" i="4" s="1"/>
  <c r="D375" i="4"/>
  <c r="F375" i="4"/>
  <c r="I375" i="4" s="1"/>
  <c r="L375" i="4" s="1"/>
  <c r="C450" i="4" s="1"/>
  <c r="L449" i="4" s="1"/>
  <c r="I352" i="7"/>
  <c r="L352" i="7" s="1"/>
  <c r="I331" i="7"/>
  <c r="L331" i="7" s="1"/>
  <c r="E359" i="4"/>
  <c r="H359" i="4" s="1"/>
  <c r="K359" i="4" s="1"/>
  <c r="N359" i="4" s="1"/>
  <c r="G359" i="4"/>
  <c r="J359" i="4" s="1"/>
  <c r="M359" i="4" s="1"/>
  <c r="E598" i="4"/>
  <c r="H598" i="4" s="1"/>
  <c r="K598" i="4" s="1"/>
  <c r="N598" i="4" s="1"/>
  <c r="G598" i="4"/>
  <c r="J598" i="4" s="1"/>
  <c r="M598" i="4" s="1"/>
  <c r="G298" i="3"/>
  <c r="M9" i="3" s="1"/>
  <c r="K9" i="3"/>
  <c r="L9" i="3" s="1"/>
  <c r="G301" i="3"/>
  <c r="M12" i="3" s="1"/>
  <c r="K12" i="3"/>
  <c r="L12" i="3" s="1"/>
  <c r="G316" i="3"/>
  <c r="M27" i="3" s="1"/>
  <c r="K27" i="3"/>
  <c r="L27" i="3" s="1"/>
  <c r="G299" i="3"/>
  <c r="M10" i="3" s="1"/>
  <c r="K10" i="3"/>
  <c r="L10" i="3" s="1"/>
  <c r="G303" i="3"/>
  <c r="M14" i="3" s="1"/>
  <c r="K14" i="3"/>
  <c r="L14" i="3" s="1"/>
  <c r="M275" i="2"/>
  <c r="O275" i="2" s="1"/>
  <c r="M273" i="2"/>
  <c r="O273" i="2" s="1"/>
  <c r="J317" i="8"/>
  <c r="J42" i="1" s="1"/>
  <c r="I42" i="1"/>
  <c r="J318" i="8"/>
  <c r="J43" i="1" s="1"/>
  <c r="I43" i="1"/>
  <c r="J322" i="8"/>
  <c r="J47" i="1" s="1"/>
  <c r="I47" i="1"/>
  <c r="I353" i="7"/>
  <c r="L353" i="7" s="1"/>
  <c r="E1089" i="4"/>
  <c r="H1089" i="4" s="1"/>
  <c r="K1089" i="4" s="1"/>
  <c r="N1089" i="4" s="1"/>
  <c r="E1163" i="4" s="1"/>
  <c r="G1089" i="4"/>
  <c r="J1089" i="4" s="1"/>
  <c r="M1089" i="4" s="1"/>
  <c r="D1163" i="4" s="1"/>
  <c r="E607" i="4"/>
  <c r="H607" i="4" s="1"/>
  <c r="K607" i="4" s="1"/>
  <c r="N607" i="4" s="1"/>
  <c r="E681" i="4" s="1"/>
  <c r="G607" i="4"/>
  <c r="J607" i="4" s="1"/>
  <c r="M607" i="4" s="1"/>
  <c r="D681" i="4" s="1"/>
  <c r="G1343" i="4"/>
  <c r="J1343" i="4" s="1"/>
  <c r="M1343" i="4" s="1"/>
  <c r="D1417" i="4" s="1"/>
  <c r="E1343" i="4"/>
  <c r="H1343" i="4" s="1"/>
  <c r="K1343" i="4" s="1"/>
  <c r="N1343" i="4" s="1"/>
  <c r="E1417" i="4" s="1"/>
  <c r="E592" i="4"/>
  <c r="H592" i="4" s="1"/>
  <c r="K592" i="4" s="1"/>
  <c r="N592" i="4" s="1"/>
  <c r="E666" i="4" s="1"/>
  <c r="G592" i="4"/>
  <c r="J592" i="4" s="1"/>
  <c r="M592" i="4" s="1"/>
  <c r="D666" i="4" s="1"/>
  <c r="E1574" i="4"/>
  <c r="H1574" i="4" s="1"/>
  <c r="K1574" i="4" s="1"/>
  <c r="N1574" i="4" s="1"/>
  <c r="E1648" i="4" s="1"/>
  <c r="G1574" i="4"/>
  <c r="J1574" i="4" s="1"/>
  <c r="M1574" i="4" s="1"/>
  <c r="D1648" i="4" s="1"/>
  <c r="E1082" i="4"/>
  <c r="H1082" i="4" s="1"/>
  <c r="K1082" i="4" s="1"/>
  <c r="N1082" i="4" s="1"/>
  <c r="E1156" i="4" s="1"/>
  <c r="G1082" i="4"/>
  <c r="J1082" i="4" s="1"/>
  <c r="M1082" i="4" s="1"/>
  <c r="D1156" i="4" s="1"/>
  <c r="E593" i="4"/>
  <c r="H593" i="4" s="1"/>
  <c r="K593" i="4" s="1"/>
  <c r="N593" i="4" s="1"/>
  <c r="E667" i="4" s="1"/>
  <c r="G593" i="4"/>
  <c r="J593" i="4" s="1"/>
  <c r="M593" i="4" s="1"/>
  <c r="D667" i="4" s="1"/>
  <c r="E840" i="4"/>
  <c r="H840" i="4" s="1"/>
  <c r="K840" i="4" s="1"/>
  <c r="N840" i="4" s="1"/>
  <c r="E914" i="4" s="1"/>
  <c r="G840" i="4"/>
  <c r="J840" i="4" s="1"/>
  <c r="M840" i="4" s="1"/>
  <c r="D914" i="4" s="1"/>
  <c r="G1085" i="4"/>
  <c r="J1085" i="4" s="1"/>
  <c r="M1085" i="4" s="1"/>
  <c r="D1159" i="4" s="1"/>
  <c r="E1085" i="4"/>
  <c r="H1085" i="4" s="1"/>
  <c r="K1085" i="4" s="1"/>
  <c r="N1085" i="4" s="1"/>
  <c r="E1159" i="4" s="1"/>
  <c r="E853" i="4"/>
  <c r="H853" i="4" s="1"/>
  <c r="K853" i="4" s="1"/>
  <c r="N853" i="4" s="1"/>
  <c r="E927" i="4" s="1"/>
  <c r="G853" i="4"/>
  <c r="J853" i="4" s="1"/>
  <c r="M853" i="4" s="1"/>
  <c r="D927" i="4" s="1"/>
  <c r="E1098" i="4"/>
  <c r="H1098" i="4" s="1"/>
  <c r="K1098" i="4" s="1"/>
  <c r="N1098" i="4" s="1"/>
  <c r="E1172" i="4" s="1"/>
  <c r="G1098" i="4"/>
  <c r="J1098" i="4" s="1"/>
  <c r="M1098" i="4" s="1"/>
  <c r="D1172" i="4" s="1"/>
  <c r="C438" i="4"/>
  <c r="L437" i="4" s="1"/>
  <c r="M7" i="2"/>
  <c r="T263" i="2"/>
  <c r="W263" i="2" s="1"/>
  <c r="J72" i="3"/>
  <c r="J905" i="4"/>
  <c r="B981" i="4" s="1"/>
  <c r="C210" i="4"/>
  <c r="J209" i="4" s="1"/>
  <c r="F73" i="1"/>
  <c r="B328" i="3"/>
  <c r="B364" i="3"/>
  <c r="H117" i="5"/>
  <c r="J159" i="4"/>
  <c r="B235" i="4" s="1"/>
  <c r="H121" i="5"/>
  <c r="J163" i="4"/>
  <c r="B239" i="4" s="1"/>
  <c r="J298" i="2"/>
  <c r="I298" i="2"/>
  <c r="C298" i="2"/>
  <c r="F298" i="2"/>
  <c r="H96" i="5"/>
  <c r="J138" i="4"/>
  <c r="B214" i="4" s="1"/>
  <c r="C214" i="4" s="1"/>
  <c r="J213" i="4" s="1"/>
  <c r="F303" i="2"/>
  <c r="J303" i="2"/>
  <c r="I303" i="2"/>
  <c r="C303" i="2"/>
  <c r="H101" i="5"/>
  <c r="J143" i="4"/>
  <c r="B219" i="4" s="1"/>
  <c r="C219" i="4" s="1"/>
  <c r="J218" i="4" s="1"/>
  <c r="J307" i="2"/>
  <c r="I307" i="2"/>
  <c r="C307" i="2"/>
  <c r="F307" i="2"/>
  <c r="H105" i="5"/>
  <c r="J147" i="4"/>
  <c r="B223" i="4" s="1"/>
  <c r="F311" i="2"/>
  <c r="J311" i="2"/>
  <c r="I311" i="2"/>
  <c r="C311" i="2"/>
  <c r="G311" i="2"/>
  <c r="H109" i="5"/>
  <c r="J151" i="4"/>
  <c r="B227" i="4" s="1"/>
  <c r="C227" i="4" s="1"/>
  <c r="J226" i="4" s="1"/>
  <c r="G315" i="2"/>
  <c r="F315" i="2"/>
  <c r="J315" i="2"/>
  <c r="I315" i="2"/>
  <c r="C315" i="2"/>
  <c r="E315" i="2" s="1"/>
  <c r="H113" i="5"/>
  <c r="J155" i="4"/>
  <c r="B231" i="4" s="1"/>
  <c r="C231" i="4" s="1"/>
  <c r="J230" i="4" s="1"/>
  <c r="I320" i="2"/>
  <c r="C320" i="2"/>
  <c r="E320" i="2" s="1"/>
  <c r="G320" i="2"/>
  <c r="F320" i="2"/>
  <c r="J320" i="2"/>
  <c r="H118" i="5"/>
  <c r="J160" i="4"/>
  <c r="B236" i="4" s="1"/>
  <c r="C236" i="6"/>
  <c r="J236" i="6" s="1"/>
  <c r="O125" i="6" s="1"/>
  <c r="J198" i="6"/>
  <c r="H124" i="5"/>
  <c r="J166" i="4"/>
  <c r="B242" i="4" s="1"/>
  <c r="J60" i="3"/>
  <c r="H112" i="5"/>
  <c r="J154" i="4"/>
  <c r="B230" i="4" s="1"/>
  <c r="J52" i="3"/>
  <c r="H104" i="5"/>
  <c r="J146" i="4"/>
  <c r="B222" i="4" s="1"/>
  <c r="J43" i="3"/>
  <c r="H95" i="5"/>
  <c r="J137" i="4"/>
  <c r="B213" i="4" s="1"/>
  <c r="J62" i="3"/>
  <c r="H114" i="5"/>
  <c r="J156" i="4"/>
  <c r="B232" i="4" s="1"/>
  <c r="J54" i="3"/>
  <c r="H106" i="5"/>
  <c r="J148" i="4"/>
  <c r="B224" i="4" s="1"/>
  <c r="J46" i="3"/>
  <c r="H98" i="5"/>
  <c r="J140" i="4"/>
  <c r="B216" i="4" s="1"/>
  <c r="C1195" i="4"/>
  <c r="J1195" i="4" s="1"/>
  <c r="C1198" i="4"/>
  <c r="J1198" i="4" s="1"/>
  <c r="C1207" i="4"/>
  <c r="J1207" i="4" s="1"/>
  <c r="C1211" i="4"/>
  <c r="J1211" i="4" s="1"/>
  <c r="C1212" i="4"/>
  <c r="J1212" i="4" s="1"/>
  <c r="C1204" i="4"/>
  <c r="J1204" i="4" s="1"/>
  <c r="C1199" i="4"/>
  <c r="J1199" i="4" s="1"/>
  <c r="C1210" i="4"/>
  <c r="J1210" i="4" s="1"/>
  <c r="C1202" i="4"/>
  <c r="J1202" i="4" s="1"/>
  <c r="G295" i="3"/>
  <c r="M6" i="3" s="1"/>
  <c r="K6" i="3"/>
  <c r="L6" i="3" s="1"/>
  <c r="G324" i="3"/>
  <c r="M35" i="3" s="1"/>
  <c r="K35" i="3"/>
  <c r="L35" i="3" s="1"/>
  <c r="G308" i="3"/>
  <c r="M19" i="3" s="1"/>
  <c r="K19" i="3"/>
  <c r="L19" i="3" s="1"/>
  <c r="G307" i="3"/>
  <c r="M18" i="3" s="1"/>
  <c r="K18" i="3"/>
  <c r="L18" i="3" s="1"/>
  <c r="G313" i="3"/>
  <c r="M24" i="3" s="1"/>
  <c r="K24" i="3"/>
  <c r="L24" i="3" s="1"/>
  <c r="G322" i="3"/>
  <c r="M33" i="3" s="1"/>
  <c r="K33" i="3"/>
  <c r="L33" i="3" s="1"/>
  <c r="G317" i="3"/>
  <c r="M28" i="3" s="1"/>
  <c r="K28" i="3"/>
  <c r="L28" i="3" s="1"/>
  <c r="G304" i="3"/>
  <c r="M15" i="3" s="1"/>
  <c r="K15" i="3"/>
  <c r="L15" i="3" s="1"/>
  <c r="G294" i="3"/>
  <c r="M5" i="3" s="1"/>
  <c r="K5" i="3"/>
  <c r="L5" i="3" s="1"/>
  <c r="G311" i="3"/>
  <c r="M22" i="3" s="1"/>
  <c r="K22" i="3"/>
  <c r="L22" i="3" s="1"/>
  <c r="G315" i="3"/>
  <c r="M26" i="3" s="1"/>
  <c r="K26" i="3"/>
  <c r="L26" i="3" s="1"/>
  <c r="G296" i="3"/>
  <c r="M7" i="3" s="1"/>
  <c r="K7" i="3"/>
  <c r="L7" i="3" s="1"/>
  <c r="M339" i="7"/>
  <c r="L16" i="7" s="1"/>
  <c r="M333" i="7"/>
  <c r="L10" i="7" s="1"/>
  <c r="M338" i="7"/>
  <c r="L15" i="7" s="1"/>
  <c r="G73" i="5"/>
  <c r="L110" i="5" s="1"/>
  <c r="G58" i="5"/>
  <c r="L95" i="5" s="1"/>
  <c r="J65" i="7"/>
  <c r="B386" i="7" s="1"/>
  <c r="J60" i="7"/>
  <c r="B381" i="7" s="1"/>
  <c r="J52" i="7"/>
  <c r="B373" i="7" s="1"/>
  <c r="G353" i="4"/>
  <c r="J353" i="4" s="1"/>
  <c r="M353" i="4" s="1"/>
  <c r="E353" i="4"/>
  <c r="H353" i="4" s="1"/>
  <c r="K353" i="4" s="1"/>
  <c r="N353" i="4" s="1"/>
  <c r="E428" i="4" s="1"/>
  <c r="G103" i="4"/>
  <c r="J103" i="4" s="1"/>
  <c r="M103" i="4" s="1"/>
  <c r="D179" i="4" s="1"/>
  <c r="E103" i="4"/>
  <c r="H103" i="4" s="1"/>
  <c r="K103" i="4" s="1"/>
  <c r="N103" i="4" s="1"/>
  <c r="E846" i="4"/>
  <c r="H846" i="4" s="1"/>
  <c r="K846" i="4" s="1"/>
  <c r="N846" i="4" s="1"/>
  <c r="E920" i="4" s="1"/>
  <c r="G846" i="4"/>
  <c r="J846" i="4" s="1"/>
  <c r="M846" i="4" s="1"/>
  <c r="D920" i="4" s="1"/>
  <c r="E1091" i="4"/>
  <c r="H1091" i="4" s="1"/>
  <c r="K1091" i="4" s="1"/>
  <c r="N1091" i="4" s="1"/>
  <c r="E1165" i="4" s="1"/>
  <c r="G1091" i="4"/>
  <c r="J1091" i="4" s="1"/>
  <c r="M1091" i="4" s="1"/>
  <c r="D1165" i="4" s="1"/>
  <c r="E106" i="4"/>
  <c r="H106" i="4" s="1"/>
  <c r="K106" i="4" s="1"/>
  <c r="N106" i="4" s="1"/>
  <c r="E182" i="4" s="1"/>
  <c r="G106" i="4"/>
  <c r="J106" i="4" s="1"/>
  <c r="M106" i="4" s="1"/>
  <c r="D182" i="4" s="1"/>
  <c r="E1345" i="4"/>
  <c r="H1345" i="4" s="1"/>
  <c r="K1345" i="4" s="1"/>
  <c r="N1345" i="4" s="1"/>
  <c r="E1419" i="4" s="1"/>
  <c r="G1345" i="4"/>
  <c r="J1345" i="4" s="1"/>
  <c r="M1345" i="4" s="1"/>
  <c r="D1419" i="4" s="1"/>
  <c r="E1099" i="4"/>
  <c r="H1099" i="4" s="1"/>
  <c r="K1099" i="4" s="1"/>
  <c r="N1099" i="4" s="1"/>
  <c r="E1173" i="4" s="1"/>
  <c r="G1099" i="4"/>
  <c r="J1099" i="4" s="1"/>
  <c r="M1099" i="4" s="1"/>
  <c r="D1173" i="4" s="1"/>
  <c r="E1332" i="4"/>
  <c r="H1332" i="4" s="1"/>
  <c r="K1332" i="4" s="1"/>
  <c r="N1332" i="4" s="1"/>
  <c r="E1406" i="4" s="1"/>
  <c r="G1332" i="4"/>
  <c r="J1332" i="4" s="1"/>
  <c r="M1332" i="4" s="1"/>
  <c r="D1406" i="4" s="1"/>
  <c r="E1086" i="4"/>
  <c r="H1086" i="4" s="1"/>
  <c r="K1086" i="4" s="1"/>
  <c r="N1086" i="4" s="1"/>
  <c r="E1160" i="4" s="1"/>
  <c r="G1086" i="4"/>
  <c r="J1086" i="4" s="1"/>
  <c r="M1086" i="4" s="1"/>
  <c r="D1160" i="4" s="1"/>
  <c r="C709" i="4"/>
  <c r="J709" i="4" s="1"/>
  <c r="C670" i="4"/>
  <c r="L669" i="4" s="1"/>
  <c r="G310" i="3"/>
  <c r="M21" i="3" s="1"/>
  <c r="K21" i="3"/>
  <c r="L21" i="3" s="1"/>
  <c r="G309" i="3"/>
  <c r="M20" i="3" s="1"/>
  <c r="K20" i="3"/>
  <c r="L20" i="3" s="1"/>
  <c r="G320" i="3"/>
  <c r="M31" i="3" s="1"/>
  <c r="K31" i="3"/>
  <c r="L31" i="3" s="1"/>
  <c r="M6" i="2"/>
  <c r="T262" i="2"/>
  <c r="W262" i="2" s="1"/>
  <c r="G321" i="3"/>
  <c r="M32" i="3" s="1"/>
  <c r="K32" i="3"/>
  <c r="L32" i="3" s="1"/>
  <c r="F70" i="5"/>
  <c r="E70" i="5"/>
  <c r="E223" i="5"/>
  <c r="F223" i="5"/>
  <c r="F235" i="5"/>
  <c r="E235" i="5"/>
  <c r="F240" i="5"/>
  <c r="E240" i="5"/>
  <c r="G1576" i="4"/>
  <c r="J1576" i="4" s="1"/>
  <c r="M1576" i="4" s="1"/>
  <c r="D1650" i="4" s="1"/>
  <c r="E1576" i="4"/>
  <c r="H1576" i="4" s="1"/>
  <c r="K1576" i="4" s="1"/>
  <c r="N1576" i="4" s="1"/>
  <c r="E1650" i="4" s="1"/>
  <c r="J69" i="3"/>
  <c r="H275" i="5"/>
  <c r="J413" i="4"/>
  <c r="B489" i="4" s="1"/>
  <c r="H268" i="5"/>
  <c r="J406" i="4"/>
  <c r="B482" i="4" s="1"/>
  <c r="H264" i="5"/>
  <c r="J402" i="4"/>
  <c r="B478" i="4" s="1"/>
  <c r="C478" i="4" s="1"/>
  <c r="J478" i="4" s="1"/>
  <c r="H260" i="5"/>
  <c r="J398" i="4"/>
  <c r="B474" i="4" s="1"/>
  <c r="H256" i="5"/>
  <c r="J394" i="4"/>
  <c r="B470" i="4" s="1"/>
  <c r="H252" i="5"/>
  <c r="J390" i="4"/>
  <c r="B466" i="4" s="1"/>
  <c r="C466" i="4" s="1"/>
  <c r="J466" i="4" s="1"/>
  <c r="J66" i="3"/>
  <c r="H272" i="5"/>
  <c r="J410" i="4"/>
  <c r="B486" i="4" s="1"/>
  <c r="J61" i="3"/>
  <c r="H267" i="5"/>
  <c r="J405" i="4"/>
  <c r="B481" i="4" s="1"/>
  <c r="J57" i="3"/>
  <c r="H263" i="5"/>
  <c r="J401" i="4"/>
  <c r="B477" i="4" s="1"/>
  <c r="C477" i="4" s="1"/>
  <c r="J477" i="4" s="1"/>
  <c r="J53" i="3"/>
  <c r="H259" i="5"/>
  <c r="J397" i="4"/>
  <c r="B473" i="4" s="1"/>
  <c r="C473" i="4" s="1"/>
  <c r="J473" i="4" s="1"/>
  <c r="J49" i="3"/>
  <c r="H255" i="5"/>
  <c r="J393" i="4"/>
  <c r="J44" i="3"/>
  <c r="H250" i="5"/>
  <c r="J388" i="4"/>
  <c r="B464" i="4" s="1"/>
  <c r="C464" i="4" s="1"/>
  <c r="J464" i="4" s="1"/>
  <c r="H249" i="5"/>
  <c r="J387" i="4"/>
  <c r="B463" i="4" s="1"/>
  <c r="C463" i="4" s="1"/>
  <c r="J463" i="4" s="1"/>
  <c r="J65" i="3"/>
  <c r="H271" i="5"/>
  <c r="J409" i="4"/>
  <c r="B485" i="4" s="1"/>
  <c r="H247" i="5"/>
  <c r="J385" i="4"/>
  <c r="C707" i="4"/>
  <c r="J707" i="4" s="1"/>
  <c r="C722" i="4"/>
  <c r="J722" i="4" s="1"/>
  <c r="C714" i="4"/>
  <c r="J714" i="4" s="1"/>
  <c r="C710" i="4"/>
  <c r="J710" i="4" s="1"/>
  <c r="C1688" i="4"/>
  <c r="J1688" i="4" s="1"/>
  <c r="C1693" i="4"/>
  <c r="J1693" i="4" s="1"/>
  <c r="C1697" i="4"/>
  <c r="J1697" i="4" s="1"/>
  <c r="C1705" i="4"/>
  <c r="J1705" i="4" s="1"/>
  <c r="C1702" i="4"/>
  <c r="J1702" i="4" s="1"/>
  <c r="C1694" i="4"/>
  <c r="J1694" i="4" s="1"/>
  <c r="C1691" i="4"/>
  <c r="J1691" i="4" s="1"/>
  <c r="K16" i="3"/>
  <c r="L16" i="3" s="1"/>
  <c r="G305" i="3"/>
  <c r="M16" i="3" s="1"/>
  <c r="J332" i="8"/>
  <c r="J57" i="1" s="1"/>
  <c r="I57" i="1"/>
  <c r="J321" i="8"/>
  <c r="J46" i="1" s="1"/>
  <c r="I46" i="1"/>
  <c r="C348" i="8"/>
  <c r="B348" i="8"/>
  <c r="E348" i="8"/>
  <c r="F348" i="8" s="1"/>
  <c r="Q260" i="2"/>
  <c r="X260" i="2"/>
  <c r="X261" i="2"/>
  <c r="Q261" i="2"/>
  <c r="K11" i="3"/>
  <c r="L11" i="3" s="1"/>
  <c r="G300" i="3"/>
  <c r="M11" i="3" s="1"/>
  <c r="K25" i="3"/>
  <c r="L25" i="3" s="1"/>
  <c r="G314" i="3"/>
  <c r="M25" i="3" s="1"/>
  <c r="E844" i="4"/>
  <c r="H844" i="4" s="1"/>
  <c r="K844" i="4" s="1"/>
  <c r="N844" i="4" s="1"/>
  <c r="E918" i="4" s="1"/>
  <c r="G844" i="4"/>
  <c r="J844" i="4" s="1"/>
  <c r="M844" i="4" s="1"/>
  <c r="D918" i="4" s="1"/>
  <c r="G354" i="4"/>
  <c r="J354" i="4" s="1"/>
  <c r="M354" i="4" s="1"/>
  <c r="E354" i="4"/>
  <c r="H354" i="4" s="1"/>
  <c r="K354" i="4" s="1"/>
  <c r="N354" i="4" s="1"/>
  <c r="G112" i="4"/>
  <c r="J112" i="4" s="1"/>
  <c r="M112" i="4" s="1"/>
  <c r="D188" i="4" s="1"/>
  <c r="E112" i="4"/>
  <c r="H112" i="4" s="1"/>
  <c r="K112" i="4" s="1"/>
  <c r="N112" i="4" s="1"/>
  <c r="E188" i="4" s="1"/>
  <c r="G347" i="4"/>
  <c r="J347" i="4" s="1"/>
  <c r="M347" i="4" s="1"/>
  <c r="E347" i="4"/>
  <c r="H347" i="4" s="1"/>
  <c r="K347" i="4" s="1"/>
  <c r="N347" i="4" s="1"/>
  <c r="E1328" i="4"/>
  <c r="H1328" i="4" s="1"/>
  <c r="K1328" i="4" s="1"/>
  <c r="N1328" i="4" s="1"/>
  <c r="E1402" i="4" s="1"/>
  <c r="G1328" i="4"/>
  <c r="J1328" i="4" s="1"/>
  <c r="M1328" i="4" s="1"/>
  <c r="D1402" i="4" s="1"/>
  <c r="G97" i="4"/>
  <c r="J97" i="4" s="1"/>
  <c r="M97" i="4" s="1"/>
  <c r="E97" i="4"/>
  <c r="H97" i="4" s="1"/>
  <c r="K97" i="4" s="1"/>
  <c r="N97" i="4" s="1"/>
  <c r="E1083" i="4"/>
  <c r="H1083" i="4" s="1"/>
  <c r="K1083" i="4" s="1"/>
  <c r="N1083" i="4" s="1"/>
  <c r="E1157" i="4" s="1"/>
  <c r="G1083" i="4"/>
  <c r="J1083" i="4" s="1"/>
  <c r="M1083" i="4" s="1"/>
  <c r="D1157" i="4" s="1"/>
  <c r="G350" i="4"/>
  <c r="J350" i="4" s="1"/>
  <c r="M350" i="4" s="1"/>
  <c r="E350" i="4"/>
  <c r="H350" i="4" s="1"/>
  <c r="K350" i="4" s="1"/>
  <c r="N350" i="4" s="1"/>
  <c r="G113" i="4"/>
  <c r="J113" i="4" s="1"/>
  <c r="M113" i="4" s="1"/>
  <c r="E113" i="4"/>
  <c r="H113" i="4" s="1"/>
  <c r="K113" i="4" s="1"/>
  <c r="N113" i="4" s="1"/>
  <c r="C979" i="4"/>
  <c r="J979" i="4" s="1"/>
  <c r="C954" i="4"/>
  <c r="J954" i="4" s="1"/>
  <c r="C952" i="4"/>
  <c r="J952" i="4" s="1"/>
  <c r="C955" i="4"/>
  <c r="J955" i="4" s="1"/>
  <c r="C962" i="4"/>
  <c r="J962" i="4" s="1"/>
  <c r="C953" i="4"/>
  <c r="J953" i="4" s="1"/>
  <c r="C965" i="4"/>
  <c r="J965" i="4" s="1"/>
  <c r="C957" i="4"/>
  <c r="J957" i="4" s="1"/>
  <c r="C956" i="4"/>
  <c r="J956" i="4" s="1"/>
  <c r="J324" i="2"/>
  <c r="I324" i="2"/>
  <c r="C324" i="2"/>
  <c r="E324" i="2" s="1"/>
  <c r="G324" i="2"/>
  <c r="F324" i="2"/>
  <c r="F296" i="2"/>
  <c r="J296" i="2"/>
  <c r="I296" i="2"/>
  <c r="C296" i="2"/>
  <c r="J42" i="3"/>
  <c r="H94" i="5"/>
  <c r="J136" i="4"/>
  <c r="H99" i="5"/>
  <c r="J141" i="4"/>
  <c r="B217" i="4" s="1"/>
  <c r="H103" i="5"/>
  <c r="J145" i="4"/>
  <c r="H107" i="5"/>
  <c r="J149" i="4"/>
  <c r="B225" i="4" s="1"/>
  <c r="H111" i="5"/>
  <c r="J153" i="4"/>
  <c r="B229" i="4" s="1"/>
  <c r="H116" i="5"/>
  <c r="J158" i="4"/>
  <c r="B234" i="4" s="1"/>
  <c r="H120" i="5"/>
  <c r="J162" i="4"/>
  <c r="B238" i="4" s="1"/>
  <c r="I325" i="2"/>
  <c r="C325" i="2"/>
  <c r="E325" i="2" s="1"/>
  <c r="J325" i="2"/>
  <c r="G325" i="2"/>
  <c r="F325" i="2"/>
  <c r="G310" i="2"/>
  <c r="F310" i="2"/>
  <c r="J310" i="2"/>
  <c r="I310" i="2"/>
  <c r="C310" i="2"/>
  <c r="F302" i="2"/>
  <c r="J302" i="2"/>
  <c r="I302" i="2"/>
  <c r="C302" i="2"/>
  <c r="E302" i="2" s="1"/>
  <c r="I317" i="2"/>
  <c r="C317" i="2"/>
  <c r="G317" i="2"/>
  <c r="F317" i="2"/>
  <c r="J317" i="2"/>
  <c r="G312" i="2"/>
  <c r="F312" i="2"/>
  <c r="J312" i="2"/>
  <c r="I312" i="2"/>
  <c r="C312" i="2"/>
  <c r="J304" i="2"/>
  <c r="I304" i="2"/>
  <c r="C304" i="2"/>
  <c r="F304" i="2"/>
  <c r="J299" i="2"/>
  <c r="I299" i="2"/>
  <c r="C299" i="2"/>
  <c r="E299" i="2" s="1"/>
  <c r="F299" i="2"/>
  <c r="C1196" i="4"/>
  <c r="J1196" i="4" s="1"/>
  <c r="C1201" i="4"/>
  <c r="J1201" i="4" s="1"/>
  <c r="C1205" i="4"/>
  <c r="J1205" i="4" s="1"/>
  <c r="C1213" i="4"/>
  <c r="J1213" i="4" s="1"/>
  <c r="C1200" i="4"/>
  <c r="J1200" i="4" s="1"/>
  <c r="C1197" i="4"/>
  <c r="J1197" i="4" s="1"/>
  <c r="E218" i="5"/>
  <c r="F218" i="5"/>
  <c r="F221" i="5"/>
  <c r="E221" i="5"/>
  <c r="E232" i="5"/>
  <c r="F232" i="5"/>
  <c r="F237" i="5"/>
  <c r="E237" i="5"/>
  <c r="E241" i="5"/>
  <c r="F241" i="5"/>
  <c r="F76" i="5"/>
  <c r="E76" i="5"/>
  <c r="E233" i="5"/>
  <c r="F233" i="5"/>
  <c r="E236" i="5"/>
  <c r="F236" i="5"/>
  <c r="E229" i="5"/>
  <c r="F229" i="5"/>
  <c r="E231" i="5"/>
  <c r="F231" i="5"/>
  <c r="E234" i="5"/>
  <c r="F234" i="5"/>
  <c r="F238" i="5"/>
  <c r="E238" i="5"/>
  <c r="B50" i="4"/>
  <c r="B46" i="5"/>
  <c r="E1094" i="4"/>
  <c r="H1094" i="4" s="1"/>
  <c r="K1094" i="4" s="1"/>
  <c r="N1094" i="4" s="1"/>
  <c r="E1168" i="4" s="1"/>
  <c r="G1094" i="4"/>
  <c r="J1094" i="4" s="1"/>
  <c r="M1094" i="4" s="1"/>
  <c r="D1168" i="4" s="1"/>
  <c r="C1447" i="4"/>
  <c r="J1447" i="4" s="1"/>
  <c r="C1408" i="4"/>
  <c r="L1407" i="4" s="1"/>
  <c r="E1088" i="4"/>
  <c r="H1088" i="4" s="1"/>
  <c r="K1088" i="4" s="1"/>
  <c r="N1088" i="4" s="1"/>
  <c r="E1162" i="4" s="1"/>
  <c r="G1088" i="4"/>
  <c r="J1088" i="4" s="1"/>
  <c r="M1088" i="4" s="1"/>
  <c r="D1162" i="4" s="1"/>
  <c r="E843" i="4"/>
  <c r="H843" i="4" s="1"/>
  <c r="K843" i="4" s="1"/>
  <c r="N843" i="4" s="1"/>
  <c r="E917" i="4" s="1"/>
  <c r="G843" i="4"/>
  <c r="J843" i="4" s="1"/>
  <c r="M843" i="4" s="1"/>
  <c r="D917" i="4" s="1"/>
  <c r="E356" i="4"/>
  <c r="H356" i="4" s="1"/>
  <c r="K356" i="4" s="1"/>
  <c r="N356" i="4" s="1"/>
  <c r="G356" i="4"/>
  <c r="J356" i="4" s="1"/>
  <c r="M356" i="4" s="1"/>
  <c r="G854" i="4"/>
  <c r="J854" i="4" s="1"/>
  <c r="M854" i="4" s="1"/>
  <c r="D928" i="4" s="1"/>
  <c r="E854" i="4"/>
  <c r="H854" i="4" s="1"/>
  <c r="K854" i="4" s="1"/>
  <c r="N854" i="4" s="1"/>
  <c r="E928" i="4" s="1"/>
  <c r="G114" i="4"/>
  <c r="J114" i="4" s="1"/>
  <c r="M114" i="4" s="1"/>
  <c r="D190" i="4" s="1"/>
  <c r="E114" i="4"/>
  <c r="H114" i="4" s="1"/>
  <c r="K114" i="4" s="1"/>
  <c r="N114" i="4" s="1"/>
  <c r="E190" i="4" s="1"/>
  <c r="G364" i="4"/>
  <c r="J364" i="4" s="1"/>
  <c r="M364" i="4" s="1"/>
  <c r="E364" i="4"/>
  <c r="H364" i="4" s="1"/>
  <c r="K364" i="4" s="1"/>
  <c r="N364" i="4" s="1"/>
  <c r="G841" i="4"/>
  <c r="J841" i="4" s="1"/>
  <c r="M841" i="4" s="1"/>
  <c r="D915" i="4" s="1"/>
  <c r="E841" i="4"/>
  <c r="H841" i="4" s="1"/>
  <c r="K841" i="4" s="1"/>
  <c r="N841" i="4" s="1"/>
  <c r="E915" i="4" s="1"/>
  <c r="G101" i="4"/>
  <c r="J101" i="4" s="1"/>
  <c r="M101" i="4" s="1"/>
  <c r="E101" i="4"/>
  <c r="H101" i="4" s="1"/>
  <c r="K101" i="4" s="1"/>
  <c r="N101" i="4" s="1"/>
  <c r="G352" i="4"/>
  <c r="J352" i="4" s="1"/>
  <c r="M352" i="4" s="1"/>
  <c r="E352" i="4"/>
  <c r="H352" i="4" s="1"/>
  <c r="K352" i="4" s="1"/>
  <c r="N352" i="4" s="1"/>
  <c r="G323" i="3"/>
  <c r="M34" i="3" s="1"/>
  <c r="K34" i="3"/>
  <c r="L34" i="3" s="1"/>
  <c r="F1588" i="4"/>
  <c r="I1588" i="4" s="1"/>
  <c r="L1588" i="4" s="1"/>
  <c r="C1662" i="4" s="1"/>
  <c r="L1661" i="4" s="1"/>
  <c r="D1588" i="4"/>
  <c r="F851" i="4"/>
  <c r="I851" i="4" s="1"/>
  <c r="L851" i="4" s="1"/>
  <c r="C925" i="4" s="1"/>
  <c r="L924" i="4" s="1"/>
  <c r="D851" i="4"/>
  <c r="D1096" i="4"/>
  <c r="F1096" i="4"/>
  <c r="I1096" i="4" s="1"/>
  <c r="L1096" i="4" s="1"/>
  <c r="C1170" i="4" s="1"/>
  <c r="L1169" i="4" s="1"/>
  <c r="F110" i="4"/>
  <c r="I110" i="4" s="1"/>
  <c r="L110" i="4" s="1"/>
  <c r="C186" i="4" s="1"/>
  <c r="L185" i="4" s="1"/>
  <c r="D110" i="4"/>
  <c r="F1587" i="4"/>
  <c r="I1587" i="4" s="1"/>
  <c r="L1587" i="4" s="1"/>
  <c r="C1661" i="4" s="1"/>
  <c r="L1660" i="4" s="1"/>
  <c r="D1587" i="4"/>
  <c r="D1341" i="4"/>
  <c r="F1341" i="4"/>
  <c r="I1341" i="4" s="1"/>
  <c r="L1341" i="4" s="1"/>
  <c r="C1415" i="4" s="1"/>
  <c r="L1414" i="4" s="1"/>
  <c r="F360" i="4"/>
  <c r="I360" i="4" s="1"/>
  <c r="L360" i="4" s="1"/>
  <c r="C435" i="4" s="1"/>
  <c r="L434" i="4" s="1"/>
  <c r="D360" i="4"/>
  <c r="F1107" i="4"/>
  <c r="I1107" i="4" s="1"/>
  <c r="L1107" i="4" s="1"/>
  <c r="C1181" i="4" s="1"/>
  <c r="L1180" i="4" s="1"/>
  <c r="D1107" i="4"/>
  <c r="F1353" i="4"/>
  <c r="I1353" i="4" s="1"/>
  <c r="L1353" i="4" s="1"/>
  <c r="C1427" i="4" s="1"/>
  <c r="L1426" i="4" s="1"/>
  <c r="D1353" i="4"/>
  <c r="D122" i="4"/>
  <c r="F122" i="4"/>
  <c r="I122" i="4" s="1"/>
  <c r="L122" i="4" s="1"/>
  <c r="C198" i="4" s="1"/>
  <c r="L197" i="4" s="1"/>
  <c r="F127" i="4"/>
  <c r="I127" i="4" s="1"/>
  <c r="L127" i="4" s="1"/>
  <c r="C203" i="4" s="1"/>
  <c r="L202" i="4" s="1"/>
  <c r="D127" i="4"/>
  <c r="D867" i="4"/>
  <c r="F867" i="4"/>
  <c r="I867" i="4" s="1"/>
  <c r="L867" i="4" s="1"/>
  <c r="C941" i="4" s="1"/>
  <c r="L940" i="4" s="1"/>
  <c r="F1358" i="4"/>
  <c r="I1358" i="4" s="1"/>
  <c r="L1358" i="4" s="1"/>
  <c r="C1432" i="4" s="1"/>
  <c r="L1431" i="4" s="1"/>
  <c r="D1358" i="4"/>
  <c r="D377" i="4"/>
  <c r="F377" i="4"/>
  <c r="I377" i="4" s="1"/>
  <c r="L377" i="4" s="1"/>
  <c r="C452" i="4" s="1"/>
  <c r="L451" i="4" s="1"/>
  <c r="K30" i="3"/>
  <c r="L30" i="3" s="1"/>
  <c r="G319" i="3"/>
  <c r="M30" i="3" s="1"/>
  <c r="E1084" i="4"/>
  <c r="H1084" i="4" s="1"/>
  <c r="K1084" i="4" s="1"/>
  <c r="N1084" i="4" s="1"/>
  <c r="E1158" i="4" s="1"/>
  <c r="G1084" i="4"/>
  <c r="J1084" i="4" s="1"/>
  <c r="M1084" i="4" s="1"/>
  <c r="D1158" i="4" s="1"/>
  <c r="G839" i="4"/>
  <c r="J839" i="4" s="1"/>
  <c r="M839" i="4" s="1"/>
  <c r="D913" i="4" s="1"/>
  <c r="E839" i="4"/>
  <c r="H839" i="4" s="1"/>
  <c r="K839" i="4" s="1"/>
  <c r="N839" i="4" s="1"/>
  <c r="E913" i="4" s="1"/>
  <c r="E594" i="4"/>
  <c r="H594" i="4" s="1"/>
  <c r="K594" i="4" s="1"/>
  <c r="N594" i="4" s="1"/>
  <c r="E668" i="4" s="1"/>
  <c r="G594" i="4"/>
  <c r="J594" i="4" s="1"/>
  <c r="M594" i="4" s="1"/>
  <c r="D668" i="4" s="1"/>
  <c r="H248" i="5"/>
  <c r="J386" i="4"/>
  <c r="B462" i="4" s="1"/>
  <c r="C462" i="4" s="1"/>
  <c r="J462" i="4" s="1"/>
  <c r="H277" i="5"/>
  <c r="J415" i="4"/>
  <c r="B491" i="4" s="1"/>
  <c r="H266" i="5"/>
  <c r="J404" i="4"/>
  <c r="B480" i="4" s="1"/>
  <c r="H262" i="5"/>
  <c r="J400" i="4"/>
  <c r="B476" i="4" s="1"/>
  <c r="C476" i="4" s="1"/>
  <c r="J476" i="4" s="1"/>
  <c r="H258" i="5"/>
  <c r="J396" i="4"/>
  <c r="B472" i="4" s="1"/>
  <c r="H254" i="5"/>
  <c r="J392" i="4"/>
  <c r="B468" i="4" s="1"/>
  <c r="C468" i="4" s="1"/>
  <c r="J468" i="4" s="1"/>
  <c r="J68" i="3"/>
  <c r="H274" i="5"/>
  <c r="J412" i="4"/>
  <c r="B488" i="4" s="1"/>
  <c r="J64" i="3"/>
  <c r="H270" i="5"/>
  <c r="J408" i="4"/>
  <c r="B484" i="4" s="1"/>
  <c r="J59" i="3"/>
  <c r="H265" i="5"/>
  <c r="J403" i="4"/>
  <c r="B479" i="4" s="1"/>
  <c r="J55" i="3"/>
  <c r="H261" i="5"/>
  <c r="J399" i="4"/>
  <c r="B475" i="4" s="1"/>
  <c r="J51" i="3"/>
  <c r="H257" i="5"/>
  <c r="J395" i="4"/>
  <c r="B471" i="4" s="1"/>
  <c r="J47" i="3"/>
  <c r="H253" i="5"/>
  <c r="J391" i="4"/>
  <c r="B467" i="4" s="1"/>
  <c r="C467" i="4" s="1"/>
  <c r="J467" i="4" s="1"/>
  <c r="H251" i="5"/>
  <c r="J389" i="4"/>
  <c r="B465" i="4" s="1"/>
  <c r="C465" i="4" s="1"/>
  <c r="J465" i="4" s="1"/>
  <c r="H278" i="5"/>
  <c r="J416" i="4"/>
  <c r="B492" i="4" s="1"/>
  <c r="J67" i="3"/>
  <c r="H273" i="5"/>
  <c r="J411" i="4"/>
  <c r="B487" i="4" s="1"/>
  <c r="H269" i="5"/>
  <c r="J407" i="4"/>
  <c r="B483" i="4" s="1"/>
  <c r="C1456" i="4"/>
  <c r="J1456" i="4" s="1"/>
  <c r="C1448" i="4"/>
  <c r="J1448" i="4" s="1"/>
  <c r="C1459" i="4"/>
  <c r="J1459" i="4" s="1"/>
  <c r="C1451" i="4"/>
  <c r="J1451" i="4" s="1"/>
  <c r="C1442" i="4"/>
  <c r="J1442" i="4" s="1"/>
  <c r="J41" i="3"/>
  <c r="J1365" i="4"/>
  <c r="B1441" i="4" s="1"/>
  <c r="C1443" i="4"/>
  <c r="J1443" i="4" s="1"/>
  <c r="C705" i="4"/>
  <c r="J705" i="4" s="1"/>
  <c r="C708" i="4"/>
  <c r="J708" i="4" s="1"/>
  <c r="C717" i="4"/>
  <c r="J717" i="4" s="1"/>
  <c r="C721" i="4"/>
  <c r="J721" i="4" s="1"/>
  <c r="C734" i="4"/>
  <c r="J734" i="4" s="1"/>
  <c r="C720" i="4"/>
  <c r="J720" i="4" s="1"/>
  <c r="C712" i="4"/>
  <c r="J712" i="4" s="1"/>
  <c r="C1687" i="4"/>
  <c r="J1687" i="4" s="1"/>
  <c r="C1690" i="4"/>
  <c r="J1690" i="4" s="1"/>
  <c r="C1699" i="4"/>
  <c r="J1699" i="4" s="1"/>
  <c r="C1703" i="4"/>
  <c r="J1703" i="4" s="1"/>
  <c r="C1704" i="4"/>
  <c r="J1704" i="4" s="1"/>
  <c r="C1696" i="4"/>
  <c r="J1696" i="4" s="1"/>
  <c r="C1692" i="4"/>
  <c r="J1692" i="4" s="1"/>
  <c r="C1689" i="4"/>
  <c r="J1689" i="4" s="1"/>
  <c r="B22" i="4"/>
  <c r="B268" i="4" s="1"/>
  <c r="B18" i="5"/>
  <c r="I350" i="7"/>
  <c r="L350" i="7" s="1"/>
  <c r="I332" i="7"/>
  <c r="L332" i="7" s="1"/>
  <c r="I327" i="7"/>
  <c r="L327" i="7" s="1"/>
  <c r="M9" i="2"/>
  <c r="T265" i="2"/>
  <c r="W265" i="2" s="1"/>
  <c r="B54" i="4"/>
  <c r="B50" i="5"/>
  <c r="B33" i="4"/>
  <c r="B29" i="5"/>
  <c r="I340" i="7"/>
  <c r="L340" i="7" s="1"/>
  <c r="I343" i="7"/>
  <c r="L343" i="7" s="1"/>
  <c r="I351" i="7"/>
  <c r="L351" i="7" s="1"/>
  <c r="B32" i="4"/>
  <c r="B28" i="5"/>
  <c r="B24" i="4"/>
  <c r="B20" i="5"/>
  <c r="J61" i="7"/>
  <c r="B382" i="7" s="1"/>
  <c r="J53" i="7"/>
  <c r="B374" i="7" s="1"/>
  <c r="J69" i="7"/>
  <c r="B390" i="7" s="1"/>
  <c r="M271" i="2"/>
  <c r="O271" i="2" s="1"/>
  <c r="M283" i="2"/>
  <c r="O283" i="2" s="1"/>
  <c r="M263" i="2"/>
  <c r="O263" i="2" s="1"/>
  <c r="M290" i="2"/>
  <c r="O290" i="2" s="1"/>
  <c r="J70" i="8"/>
  <c r="A378" i="8" s="1"/>
  <c r="J42" i="7"/>
  <c r="B363" i="7" s="1"/>
  <c r="J64" i="7"/>
  <c r="B385" i="7" s="1"/>
  <c r="J68" i="7"/>
  <c r="B389" i="7" s="1"/>
  <c r="J71" i="8"/>
  <c r="A379" i="8" s="1"/>
  <c r="J56" i="8"/>
  <c r="A364" i="8" s="1"/>
  <c r="J48" i="8"/>
  <c r="A356" i="8" s="1"/>
  <c r="J63" i="8"/>
  <c r="A371" i="8" s="1"/>
  <c r="J58" i="8"/>
  <c r="A366" i="8" s="1"/>
  <c r="J50" i="8"/>
  <c r="A358" i="8" s="1"/>
  <c r="J45" i="8"/>
  <c r="A353" i="8" s="1"/>
  <c r="M288" i="2"/>
  <c r="O288" i="2" s="1"/>
  <c r="M284" i="2"/>
  <c r="O284" i="2" s="1"/>
  <c r="M264" i="2"/>
  <c r="O264" i="2" s="1"/>
  <c r="R264" i="2" s="1"/>
  <c r="M287" i="2"/>
  <c r="O287" i="2" s="1"/>
  <c r="J59" i="7"/>
  <c r="B380" i="7" s="1"/>
  <c r="J55" i="7"/>
  <c r="B376" i="7" s="1"/>
  <c r="J51" i="7"/>
  <c r="B372" i="7" s="1"/>
  <c r="J47" i="7"/>
  <c r="B368" i="7" s="1"/>
  <c r="J70" i="7"/>
  <c r="B391" i="7" s="1"/>
  <c r="J67" i="7"/>
  <c r="B388" i="7" s="1"/>
  <c r="M281" i="2"/>
  <c r="O281" i="2" s="1"/>
  <c r="M266" i="2"/>
  <c r="O266" i="2" s="1"/>
  <c r="F295" i="2"/>
  <c r="J295" i="2"/>
  <c r="I295" i="2"/>
  <c r="C295" i="2"/>
  <c r="E295" i="2" s="1"/>
  <c r="H93" i="5"/>
  <c r="J135" i="4"/>
  <c r="G326" i="2"/>
  <c r="I326" i="2"/>
  <c r="F326" i="2"/>
  <c r="J326" i="2"/>
  <c r="C326" i="2"/>
  <c r="E326" i="2" s="1"/>
  <c r="G314" i="2"/>
  <c r="F314" i="2"/>
  <c r="J314" i="2"/>
  <c r="I314" i="2"/>
  <c r="C314" i="2"/>
  <c r="E314" i="2" s="1"/>
  <c r="F306" i="2"/>
  <c r="J306" i="2"/>
  <c r="I306" i="2"/>
  <c r="C306" i="2"/>
  <c r="F297" i="2"/>
  <c r="J297" i="2"/>
  <c r="I297" i="2"/>
  <c r="C297" i="2"/>
  <c r="E297" i="2" s="1"/>
  <c r="J316" i="2"/>
  <c r="I316" i="2"/>
  <c r="C316" i="2"/>
  <c r="G316" i="2"/>
  <c r="F316" i="2"/>
  <c r="F308" i="2"/>
  <c r="J308" i="2"/>
  <c r="I308" i="2"/>
  <c r="C308" i="2"/>
  <c r="J300" i="2"/>
  <c r="I300" i="2"/>
  <c r="C300" i="2"/>
  <c r="F300" i="2"/>
  <c r="F600" i="4"/>
  <c r="I600" i="4" s="1"/>
  <c r="L600" i="4" s="1"/>
  <c r="C674" i="4" s="1"/>
  <c r="L673" i="4" s="1"/>
  <c r="D600" i="4"/>
  <c r="F1336" i="4"/>
  <c r="I1336" i="4" s="1"/>
  <c r="L1336" i="4" s="1"/>
  <c r="C1410" i="4" s="1"/>
  <c r="L1409" i="4" s="1"/>
  <c r="D1336" i="4"/>
  <c r="F105" i="4"/>
  <c r="I105" i="4" s="1"/>
  <c r="L105" i="4" s="1"/>
  <c r="C181" i="4" s="1"/>
  <c r="L180" i="4" s="1"/>
  <c r="D105" i="4"/>
  <c r="D355" i="4"/>
  <c r="F355" i="4"/>
  <c r="I355" i="4" s="1"/>
  <c r="L355" i="4" s="1"/>
  <c r="D1093" i="4"/>
  <c r="F1093" i="4"/>
  <c r="I1093" i="4" s="1"/>
  <c r="L1093" i="4" s="1"/>
  <c r="C1167" i="4" s="1"/>
  <c r="L1166" i="4" s="1"/>
  <c r="D848" i="4"/>
  <c r="F848" i="4"/>
  <c r="I848" i="4" s="1"/>
  <c r="L848" i="4" s="1"/>
  <c r="C922" i="4" s="1"/>
  <c r="L921" i="4" s="1"/>
  <c r="F1585" i="4"/>
  <c r="I1585" i="4" s="1"/>
  <c r="L1585" i="4" s="1"/>
  <c r="C1659" i="4" s="1"/>
  <c r="L1658" i="4" s="1"/>
  <c r="D1585" i="4"/>
  <c r="D1350" i="4"/>
  <c r="F1350" i="4"/>
  <c r="I1350" i="4" s="1"/>
  <c r="L1350" i="4" s="1"/>
  <c r="C1424" i="4" s="1"/>
  <c r="L1423" i="4" s="1"/>
  <c r="F1104" i="4"/>
  <c r="I1104" i="4" s="1"/>
  <c r="L1104" i="4" s="1"/>
  <c r="C1178" i="4" s="1"/>
  <c r="L1177" i="4" s="1"/>
  <c r="D1104" i="4"/>
  <c r="F859" i="4"/>
  <c r="I859" i="4" s="1"/>
  <c r="L859" i="4" s="1"/>
  <c r="C933" i="4" s="1"/>
  <c r="L932" i="4" s="1"/>
  <c r="D859" i="4"/>
  <c r="F369" i="4"/>
  <c r="I369" i="4" s="1"/>
  <c r="L369" i="4" s="1"/>
  <c r="C444" i="4" s="1"/>
  <c r="L443" i="4" s="1"/>
  <c r="D369" i="4"/>
  <c r="F124" i="4"/>
  <c r="I124" i="4" s="1"/>
  <c r="L124" i="4" s="1"/>
  <c r="C200" i="4" s="1"/>
  <c r="L199" i="4" s="1"/>
  <c r="D124" i="4"/>
  <c r="F864" i="4"/>
  <c r="I864" i="4" s="1"/>
  <c r="L864" i="4" s="1"/>
  <c r="C938" i="4" s="1"/>
  <c r="L937" i="4" s="1"/>
  <c r="D864" i="4"/>
  <c r="D619" i="4"/>
  <c r="F619" i="4"/>
  <c r="I619" i="4" s="1"/>
  <c r="L619" i="4" s="1"/>
  <c r="C693" i="4" s="1"/>
  <c r="L692" i="4" s="1"/>
  <c r="D128" i="4"/>
  <c r="F128" i="4"/>
  <c r="I128" i="4" s="1"/>
  <c r="L128" i="4" s="1"/>
  <c r="C204" i="4" s="1"/>
  <c r="L203" i="4" s="1"/>
  <c r="F868" i="4"/>
  <c r="I868" i="4" s="1"/>
  <c r="L868" i="4" s="1"/>
  <c r="C942" i="4" s="1"/>
  <c r="L941" i="4" s="1"/>
  <c r="D868" i="4"/>
  <c r="F1113" i="4"/>
  <c r="I1113" i="4" s="1"/>
  <c r="L1113" i="4" s="1"/>
  <c r="C1187" i="4" s="1"/>
  <c r="L1186" i="4" s="1"/>
  <c r="D1113" i="4"/>
  <c r="D378" i="4"/>
  <c r="F378" i="4"/>
  <c r="I378" i="4" s="1"/>
  <c r="L378" i="4" s="1"/>
  <c r="C453" i="4" s="1"/>
  <c r="L452" i="4" s="1"/>
  <c r="D1102" i="4"/>
  <c r="F1102" i="4"/>
  <c r="I1102" i="4" s="1"/>
  <c r="L1102" i="4" s="1"/>
  <c r="C1176" i="4" s="1"/>
  <c r="L1175" i="4" s="1"/>
  <c r="D117" i="4"/>
  <c r="F117" i="4"/>
  <c r="I117" i="4" s="1"/>
  <c r="L117" i="4" s="1"/>
  <c r="C193" i="4" s="1"/>
  <c r="L192" i="4" s="1"/>
  <c r="F612" i="4"/>
  <c r="I612" i="4" s="1"/>
  <c r="L612" i="4" s="1"/>
  <c r="C686" i="4" s="1"/>
  <c r="L685" i="4" s="1"/>
  <c r="D612" i="4"/>
  <c r="F860" i="4"/>
  <c r="I860" i="4" s="1"/>
  <c r="L860" i="4" s="1"/>
  <c r="C934" i="4" s="1"/>
  <c r="L933" i="4" s="1"/>
  <c r="D860" i="4"/>
  <c r="D120" i="4"/>
  <c r="F120" i="4"/>
  <c r="I120" i="4" s="1"/>
  <c r="L120" i="4" s="1"/>
  <c r="C196" i="4" s="1"/>
  <c r="L195" i="4" s="1"/>
  <c r="F1351" i="4"/>
  <c r="I1351" i="4" s="1"/>
  <c r="L1351" i="4" s="1"/>
  <c r="C1425" i="4" s="1"/>
  <c r="L1424" i="4" s="1"/>
  <c r="D1351" i="4"/>
  <c r="D370" i="4"/>
  <c r="F370" i="4"/>
  <c r="I370" i="4" s="1"/>
  <c r="L370" i="4" s="1"/>
  <c r="C445" i="4" s="1"/>
  <c r="L444" i="4" s="1"/>
  <c r="F618" i="4"/>
  <c r="I618" i="4" s="1"/>
  <c r="L618" i="4" s="1"/>
  <c r="C692" i="4" s="1"/>
  <c r="L691" i="4" s="1"/>
  <c r="D618" i="4"/>
  <c r="D123" i="4"/>
  <c r="F123" i="4"/>
  <c r="I123" i="4" s="1"/>
  <c r="L123" i="4" s="1"/>
  <c r="C199" i="4" s="1"/>
  <c r="L198" i="4" s="1"/>
  <c r="F863" i="4"/>
  <c r="I863" i="4" s="1"/>
  <c r="L863" i="4" s="1"/>
  <c r="C937" i="4" s="1"/>
  <c r="L936" i="4" s="1"/>
  <c r="D863" i="4"/>
  <c r="D856" i="4"/>
  <c r="F856" i="4"/>
  <c r="I856" i="4" s="1"/>
  <c r="L856" i="4" s="1"/>
  <c r="C930" i="4" s="1"/>
  <c r="L929" i="4" s="1"/>
  <c r="D611" i="4"/>
  <c r="F611" i="4"/>
  <c r="I611" i="4" s="1"/>
  <c r="L611" i="4" s="1"/>
  <c r="C685" i="4" s="1"/>
  <c r="L684" i="4" s="1"/>
  <c r="D1593" i="4"/>
  <c r="F1593" i="4"/>
  <c r="I1593" i="4" s="1"/>
  <c r="L1593" i="4" s="1"/>
  <c r="C1667" i="4" s="1"/>
  <c r="L1666" i="4" s="1"/>
  <c r="F366" i="4"/>
  <c r="I366" i="4" s="1"/>
  <c r="L366" i="4" s="1"/>
  <c r="D366" i="4"/>
  <c r="F1103" i="4"/>
  <c r="I1103" i="4" s="1"/>
  <c r="L1103" i="4" s="1"/>
  <c r="C1177" i="4" s="1"/>
  <c r="L1176" i="4" s="1"/>
  <c r="D1103" i="4"/>
  <c r="D858" i="4"/>
  <c r="F858" i="4"/>
  <c r="I858" i="4" s="1"/>
  <c r="L858" i="4" s="1"/>
  <c r="C932" i="4" s="1"/>
  <c r="L931" i="4" s="1"/>
  <c r="D1595" i="4"/>
  <c r="F1595" i="4"/>
  <c r="I1595" i="4" s="1"/>
  <c r="L1595" i="4" s="1"/>
  <c r="C1669" i="4" s="1"/>
  <c r="L1668" i="4" s="1"/>
  <c r="F1598" i="4"/>
  <c r="I1598" i="4" s="1"/>
  <c r="L1598" i="4" s="1"/>
  <c r="C1672" i="4" s="1"/>
  <c r="L1671" i="4" s="1"/>
  <c r="D1598" i="4"/>
  <c r="D121" i="4"/>
  <c r="F121" i="4"/>
  <c r="I121" i="4" s="1"/>
  <c r="L121" i="4" s="1"/>
  <c r="C197" i="4" s="1"/>
  <c r="L196" i="4" s="1"/>
  <c r="F1352" i="4"/>
  <c r="I1352" i="4" s="1"/>
  <c r="L1352" i="4" s="1"/>
  <c r="C1426" i="4" s="1"/>
  <c r="L1425" i="4" s="1"/>
  <c r="D1352" i="4"/>
  <c r="D371" i="4"/>
  <c r="F371" i="4"/>
  <c r="I371" i="4" s="1"/>
  <c r="L371" i="4" s="1"/>
  <c r="F1110" i="4"/>
  <c r="I1110" i="4" s="1"/>
  <c r="L1110" i="4" s="1"/>
  <c r="C1184" i="4" s="1"/>
  <c r="L1183" i="4" s="1"/>
  <c r="D1110" i="4"/>
  <c r="F125" i="4"/>
  <c r="I125" i="4" s="1"/>
  <c r="L125" i="4" s="1"/>
  <c r="C201" i="4" s="1"/>
  <c r="L200" i="4" s="1"/>
  <c r="D125" i="4"/>
  <c r="D1356" i="4"/>
  <c r="F1356" i="4"/>
  <c r="I1356" i="4" s="1"/>
  <c r="L1356" i="4" s="1"/>
  <c r="C1430" i="4" s="1"/>
  <c r="L1429" i="4" s="1"/>
  <c r="I330" i="7"/>
  <c r="L330" i="7" s="1"/>
  <c r="I334" i="7"/>
  <c r="L334" i="7" s="1"/>
  <c r="E604" i="4"/>
  <c r="H604" i="4" s="1"/>
  <c r="K604" i="4" s="1"/>
  <c r="N604" i="4" s="1"/>
  <c r="E678" i="4" s="1"/>
  <c r="G604" i="4"/>
  <c r="J604" i="4" s="1"/>
  <c r="M604" i="4" s="1"/>
  <c r="D678" i="4" s="1"/>
  <c r="G849" i="4"/>
  <c r="J849" i="4" s="1"/>
  <c r="M849" i="4" s="1"/>
  <c r="D923" i="4" s="1"/>
  <c r="E849" i="4"/>
  <c r="H849" i="4" s="1"/>
  <c r="K849" i="4" s="1"/>
  <c r="N849" i="4" s="1"/>
  <c r="E923" i="4" s="1"/>
  <c r="E1340" i="4"/>
  <c r="H1340" i="4" s="1"/>
  <c r="K1340" i="4" s="1"/>
  <c r="N1340" i="4" s="1"/>
  <c r="E1414" i="4" s="1"/>
  <c r="G1340" i="4"/>
  <c r="J1340" i="4" s="1"/>
  <c r="M1340" i="4" s="1"/>
  <c r="D1414" i="4" s="1"/>
  <c r="C428" i="4"/>
  <c r="L427" i="4" s="1"/>
  <c r="E1591" i="4"/>
  <c r="H1591" i="4" s="1"/>
  <c r="K1591" i="4" s="1"/>
  <c r="N1591" i="4" s="1"/>
  <c r="E1665" i="4" s="1"/>
  <c r="G1591" i="4"/>
  <c r="J1591" i="4" s="1"/>
  <c r="M1591" i="4" s="1"/>
  <c r="D1665" i="4" s="1"/>
  <c r="E351" i="4"/>
  <c r="H351" i="4" s="1"/>
  <c r="K351" i="4" s="1"/>
  <c r="N351" i="4" s="1"/>
  <c r="G351" i="4"/>
  <c r="J351" i="4" s="1"/>
  <c r="M351" i="4" s="1"/>
  <c r="E596" i="4"/>
  <c r="H596" i="4" s="1"/>
  <c r="K596" i="4" s="1"/>
  <c r="N596" i="4" s="1"/>
  <c r="G596" i="4"/>
  <c r="J596" i="4" s="1"/>
  <c r="M596" i="4" s="1"/>
  <c r="E102" i="4"/>
  <c r="H102" i="4" s="1"/>
  <c r="K102" i="4" s="1"/>
  <c r="N102" i="4" s="1"/>
  <c r="E178" i="4" s="1"/>
  <c r="G102" i="4"/>
  <c r="J102" i="4" s="1"/>
  <c r="M102" i="4" s="1"/>
  <c r="G1579" i="4"/>
  <c r="J1579" i="4" s="1"/>
  <c r="M1579" i="4" s="1"/>
  <c r="D1653" i="4" s="1"/>
  <c r="E1579" i="4"/>
  <c r="H1579" i="4" s="1"/>
  <c r="K1579" i="4" s="1"/>
  <c r="N1579" i="4" s="1"/>
  <c r="E1653" i="4" s="1"/>
  <c r="E1087" i="4"/>
  <c r="H1087" i="4" s="1"/>
  <c r="K1087" i="4" s="1"/>
  <c r="N1087" i="4" s="1"/>
  <c r="E1161" i="4" s="1"/>
  <c r="G1087" i="4"/>
  <c r="J1087" i="4" s="1"/>
  <c r="M1087" i="4" s="1"/>
  <c r="D1161" i="4" s="1"/>
  <c r="M12" i="2"/>
  <c r="T268" i="2"/>
  <c r="W268" i="2" s="1"/>
  <c r="F224" i="5"/>
  <c r="E224" i="5"/>
  <c r="E69" i="5"/>
  <c r="F69" i="5"/>
  <c r="F81" i="5"/>
  <c r="E81" i="5"/>
  <c r="E86" i="5"/>
  <c r="F86" i="5"/>
  <c r="E349" i="4"/>
  <c r="H349" i="4" s="1"/>
  <c r="K349" i="4" s="1"/>
  <c r="N349" i="4" s="1"/>
  <c r="G349" i="4"/>
  <c r="J349" i="4" s="1"/>
  <c r="M349" i="4" s="1"/>
  <c r="E1330" i="4"/>
  <c r="H1330" i="4" s="1"/>
  <c r="K1330" i="4" s="1"/>
  <c r="N1330" i="4" s="1"/>
  <c r="E1404" i="4" s="1"/>
  <c r="G1330" i="4"/>
  <c r="J1330" i="4" s="1"/>
  <c r="M1330" i="4" s="1"/>
  <c r="D1404" i="4" s="1"/>
  <c r="G99" i="4"/>
  <c r="J99" i="4" s="1"/>
  <c r="M99" i="4" s="1"/>
  <c r="E99" i="4"/>
  <c r="H99" i="4" s="1"/>
  <c r="K99" i="4" s="1"/>
  <c r="N99" i="4" s="1"/>
  <c r="E175" i="4" s="1"/>
  <c r="C460" i="4"/>
  <c r="J460" i="4" s="1"/>
  <c r="C195" i="6"/>
  <c r="D233" i="6"/>
  <c r="C188" i="6"/>
  <c r="D226" i="6"/>
  <c r="C184" i="6"/>
  <c r="D222" i="6"/>
  <c r="C180" i="6"/>
  <c r="D218" i="6"/>
  <c r="C176" i="6"/>
  <c r="D214" i="6"/>
  <c r="C172" i="6"/>
  <c r="D210" i="6"/>
  <c r="C192" i="6"/>
  <c r="D230" i="6"/>
  <c r="C187" i="6"/>
  <c r="D225" i="6"/>
  <c r="C183" i="6"/>
  <c r="D221" i="6"/>
  <c r="C179" i="6"/>
  <c r="D217" i="6"/>
  <c r="C175" i="6"/>
  <c r="D213" i="6"/>
  <c r="C170" i="6"/>
  <c r="D208" i="6"/>
  <c r="C169" i="6"/>
  <c r="D207" i="6"/>
  <c r="J70" i="3"/>
  <c r="H276" i="5"/>
  <c r="J414" i="4"/>
  <c r="B490" i="4" s="1"/>
  <c r="C191" i="6"/>
  <c r="D229" i="6"/>
  <c r="C1458" i="4"/>
  <c r="J1458" i="4" s="1"/>
  <c r="C1450" i="4"/>
  <c r="J1450" i="4" s="1"/>
  <c r="C1446" i="4"/>
  <c r="J1446" i="4" s="1"/>
  <c r="C1457" i="4"/>
  <c r="J1457" i="4" s="1"/>
  <c r="C1453" i="4"/>
  <c r="J1453" i="4" s="1"/>
  <c r="C1444" i="4"/>
  <c r="J1444" i="4" s="1"/>
  <c r="C1445" i="4"/>
  <c r="J1445" i="4" s="1"/>
  <c r="C706" i="4"/>
  <c r="J706" i="4" s="1"/>
  <c r="C715" i="4"/>
  <c r="J715" i="4" s="1"/>
  <c r="C723" i="4"/>
  <c r="J723" i="4" s="1"/>
  <c r="C1716" i="4"/>
  <c r="J1716" i="4" s="1"/>
  <c r="M10" i="2"/>
  <c r="T266" i="2"/>
  <c r="W266" i="2" s="1"/>
  <c r="U259" i="2"/>
  <c r="K3" i="2" s="1"/>
  <c r="V259" i="2"/>
  <c r="C361" i="7"/>
  <c r="D361" i="7" s="1"/>
  <c r="E361" i="7" s="1"/>
  <c r="J331" i="8"/>
  <c r="J56" i="1" s="1"/>
  <c r="I56" i="1"/>
  <c r="E599" i="4"/>
  <c r="H599" i="4" s="1"/>
  <c r="K599" i="4" s="1"/>
  <c r="N599" i="4" s="1"/>
  <c r="E673" i="4" s="1"/>
  <c r="G599" i="4"/>
  <c r="J599" i="4" s="1"/>
  <c r="M599" i="4" s="1"/>
  <c r="D673" i="4" s="1"/>
  <c r="E1581" i="4"/>
  <c r="H1581" i="4" s="1"/>
  <c r="K1581" i="4" s="1"/>
  <c r="N1581" i="4" s="1"/>
  <c r="E1655" i="4" s="1"/>
  <c r="G1581" i="4"/>
  <c r="J1581" i="4" s="1"/>
  <c r="M1581" i="4" s="1"/>
  <c r="D1655" i="4" s="1"/>
  <c r="C429" i="4"/>
  <c r="L428" i="4" s="1"/>
  <c r="G1097" i="4"/>
  <c r="J1097" i="4" s="1"/>
  <c r="M1097" i="4" s="1"/>
  <c r="D1171" i="4" s="1"/>
  <c r="E1097" i="4"/>
  <c r="H1097" i="4" s="1"/>
  <c r="K1097" i="4" s="1"/>
  <c r="N1097" i="4" s="1"/>
  <c r="E1171" i="4" s="1"/>
  <c r="G1589" i="4"/>
  <c r="J1589" i="4" s="1"/>
  <c r="M1589" i="4" s="1"/>
  <c r="D1663" i="4" s="1"/>
  <c r="E1589" i="4"/>
  <c r="H1589" i="4" s="1"/>
  <c r="K1589" i="4" s="1"/>
  <c r="N1589" i="4" s="1"/>
  <c r="E1663" i="4" s="1"/>
  <c r="E837" i="4"/>
  <c r="H837" i="4" s="1"/>
  <c r="K837" i="4" s="1"/>
  <c r="N837" i="4" s="1"/>
  <c r="E911" i="4" s="1"/>
  <c r="G837" i="4"/>
  <c r="J837" i="4" s="1"/>
  <c r="M837" i="4" s="1"/>
  <c r="D911" i="4" s="1"/>
  <c r="C422" i="4"/>
  <c r="L421" i="4" s="1"/>
  <c r="E98" i="4"/>
  <c r="H98" i="4" s="1"/>
  <c r="K98" i="4" s="1"/>
  <c r="N98" i="4" s="1"/>
  <c r="G98" i="4"/>
  <c r="J98" i="4" s="1"/>
  <c r="M98" i="4" s="1"/>
  <c r="E1329" i="4"/>
  <c r="H1329" i="4" s="1"/>
  <c r="K1329" i="4" s="1"/>
  <c r="N1329" i="4" s="1"/>
  <c r="E1403" i="4" s="1"/>
  <c r="G1329" i="4"/>
  <c r="J1329" i="4" s="1"/>
  <c r="M1329" i="4" s="1"/>
  <c r="D1403" i="4" s="1"/>
  <c r="E595" i="4"/>
  <c r="H595" i="4" s="1"/>
  <c r="K595" i="4" s="1"/>
  <c r="N595" i="4" s="1"/>
  <c r="E669" i="4" s="1"/>
  <c r="G595" i="4"/>
  <c r="J595" i="4" s="1"/>
  <c r="M595" i="4" s="1"/>
  <c r="D669" i="4" s="1"/>
  <c r="E1577" i="4"/>
  <c r="H1577" i="4" s="1"/>
  <c r="K1577" i="4" s="1"/>
  <c r="N1577" i="4" s="1"/>
  <c r="E1651" i="4" s="1"/>
  <c r="G1577" i="4"/>
  <c r="J1577" i="4" s="1"/>
  <c r="M1577" i="4" s="1"/>
  <c r="D1651" i="4" s="1"/>
  <c r="G1331" i="4"/>
  <c r="J1331" i="4" s="1"/>
  <c r="M1331" i="4" s="1"/>
  <c r="D1405" i="4" s="1"/>
  <c r="E1331" i="4"/>
  <c r="H1331" i="4" s="1"/>
  <c r="K1331" i="4" s="1"/>
  <c r="N1331" i="4" s="1"/>
  <c r="E1405" i="4" s="1"/>
  <c r="G1344" i="4"/>
  <c r="J1344" i="4" s="1"/>
  <c r="M1344" i="4" s="1"/>
  <c r="D1418" i="4" s="1"/>
  <c r="E1344" i="4"/>
  <c r="H1344" i="4" s="1"/>
  <c r="K1344" i="4" s="1"/>
  <c r="N1344" i="4" s="1"/>
  <c r="E1418" i="4" s="1"/>
  <c r="E608" i="4"/>
  <c r="H608" i="4" s="1"/>
  <c r="K608" i="4" s="1"/>
  <c r="N608" i="4" s="1"/>
  <c r="E682" i="4" s="1"/>
  <c r="G608" i="4"/>
  <c r="J608" i="4" s="1"/>
  <c r="M608" i="4" s="1"/>
  <c r="D682" i="4" s="1"/>
  <c r="G321" i="2"/>
  <c r="I321" i="2"/>
  <c r="J321" i="2"/>
  <c r="F321" i="2"/>
  <c r="C321" i="2"/>
  <c r="H119" i="5"/>
  <c r="J161" i="4"/>
  <c r="B237" i="4" s="1"/>
  <c r="C237" i="4" s="1"/>
  <c r="J236" i="4" s="1"/>
  <c r="C234" i="6"/>
  <c r="J234" i="6" s="1"/>
  <c r="O123" i="6" s="1"/>
  <c r="J196" i="6"/>
  <c r="H122" i="5"/>
  <c r="J164" i="4"/>
  <c r="B240" i="4" s="1"/>
  <c r="J168" i="6"/>
  <c r="C206" i="6"/>
  <c r="J206" i="6" s="1"/>
  <c r="O95" i="6" s="1"/>
  <c r="F301" i="2"/>
  <c r="J301" i="2"/>
  <c r="I301" i="2"/>
  <c r="C301" i="2"/>
  <c r="I305" i="2"/>
  <c r="C305" i="2"/>
  <c r="F305" i="2"/>
  <c r="J305" i="2"/>
  <c r="J309" i="2"/>
  <c r="I309" i="2"/>
  <c r="C309" i="2"/>
  <c r="E309" i="2" s="1"/>
  <c r="F309" i="2"/>
  <c r="J313" i="2"/>
  <c r="I313" i="2"/>
  <c r="C313" i="2"/>
  <c r="G313" i="2"/>
  <c r="F313" i="2"/>
  <c r="I318" i="2"/>
  <c r="C318" i="2"/>
  <c r="G318" i="2"/>
  <c r="F318" i="2"/>
  <c r="J318" i="2"/>
  <c r="G322" i="2"/>
  <c r="I322" i="2"/>
  <c r="J322" i="2"/>
  <c r="C322" i="2"/>
  <c r="E322" i="2" s="1"/>
  <c r="F322" i="2"/>
  <c r="C235" i="6"/>
  <c r="J235" i="6" s="1"/>
  <c r="O124" i="6" s="1"/>
  <c r="J197" i="6"/>
  <c r="J71" i="3"/>
  <c r="H123" i="5"/>
  <c r="J165" i="4"/>
  <c r="B241" i="4" s="1"/>
  <c r="C241" i="4" s="1"/>
  <c r="J240" i="4" s="1"/>
  <c r="J56" i="3"/>
  <c r="H108" i="5"/>
  <c r="J150" i="4"/>
  <c r="B226" i="4" s="1"/>
  <c r="J48" i="3"/>
  <c r="H100" i="5"/>
  <c r="J142" i="4"/>
  <c r="J63" i="3"/>
  <c r="H115" i="5"/>
  <c r="J157" i="4"/>
  <c r="B233" i="4" s="1"/>
  <c r="J58" i="3"/>
  <c r="H110" i="5"/>
  <c r="J152" i="4"/>
  <c r="B228" i="4" s="1"/>
  <c r="J50" i="3"/>
  <c r="H102" i="5"/>
  <c r="J144" i="4"/>
  <c r="B220" i="4" s="1"/>
  <c r="J45" i="3"/>
  <c r="H97" i="5"/>
  <c r="J139" i="4"/>
  <c r="C1224" i="4"/>
  <c r="J1224" i="4" s="1"/>
  <c r="F64" i="5"/>
  <c r="E64" i="5"/>
  <c r="F67" i="5"/>
  <c r="E67" i="5"/>
  <c r="E78" i="5"/>
  <c r="F78" i="5"/>
  <c r="F83" i="5"/>
  <c r="E83" i="5"/>
  <c r="E87" i="5"/>
  <c r="F87" i="5"/>
  <c r="F230" i="5"/>
  <c r="E230" i="5"/>
  <c r="F79" i="5"/>
  <c r="E79" i="5"/>
  <c r="F82" i="5"/>
  <c r="E82" i="5"/>
  <c r="E75" i="5"/>
  <c r="F75" i="5"/>
  <c r="E77" i="5"/>
  <c r="F77" i="5"/>
  <c r="E80" i="5"/>
  <c r="F80" i="5"/>
  <c r="F84" i="5"/>
  <c r="E84" i="5"/>
  <c r="G109" i="4"/>
  <c r="J109" i="4" s="1"/>
  <c r="M109" i="4" s="1"/>
  <c r="D185" i="4" s="1"/>
  <c r="E109" i="4"/>
  <c r="H109" i="4" s="1"/>
  <c r="K109" i="4" s="1"/>
  <c r="N109" i="4" s="1"/>
  <c r="G1586" i="4"/>
  <c r="J1586" i="4" s="1"/>
  <c r="M1586" i="4" s="1"/>
  <c r="D1660" i="4" s="1"/>
  <c r="E1586" i="4"/>
  <c r="H1586" i="4" s="1"/>
  <c r="K1586" i="4" s="1"/>
  <c r="N1586" i="4" s="1"/>
  <c r="E1660" i="4" s="1"/>
  <c r="E1334" i="4"/>
  <c r="H1334" i="4" s="1"/>
  <c r="K1334" i="4" s="1"/>
  <c r="N1334" i="4" s="1"/>
  <c r="E1408" i="4" s="1"/>
  <c r="G1334" i="4"/>
  <c r="J1334" i="4" s="1"/>
  <c r="M1334" i="4" s="1"/>
  <c r="D1408" i="4" s="1"/>
  <c r="E1580" i="4"/>
  <c r="H1580" i="4" s="1"/>
  <c r="K1580" i="4" s="1"/>
  <c r="N1580" i="4" s="1"/>
  <c r="E1654" i="4" s="1"/>
  <c r="G1580" i="4"/>
  <c r="J1580" i="4" s="1"/>
  <c r="M1580" i="4" s="1"/>
  <c r="D1654" i="4" s="1"/>
  <c r="G1583" i="4"/>
  <c r="J1583" i="4" s="1"/>
  <c r="M1583" i="4" s="1"/>
  <c r="D1657" i="4" s="1"/>
  <c r="E1583" i="4"/>
  <c r="H1583" i="4" s="1"/>
  <c r="K1583" i="4" s="1"/>
  <c r="N1583" i="4" s="1"/>
  <c r="E1657" i="4" s="1"/>
  <c r="C431" i="4"/>
  <c r="L430" i="4" s="1"/>
  <c r="E1337" i="4"/>
  <c r="H1337" i="4" s="1"/>
  <c r="K1337" i="4" s="1"/>
  <c r="N1337" i="4" s="1"/>
  <c r="E1411" i="4" s="1"/>
  <c r="E609" i="4"/>
  <c r="H609" i="4" s="1"/>
  <c r="K609" i="4" s="1"/>
  <c r="N609" i="4" s="1"/>
  <c r="E683" i="4" s="1"/>
  <c r="G609" i="4"/>
  <c r="J609" i="4" s="1"/>
  <c r="M609" i="4" s="1"/>
  <c r="D683" i="4" s="1"/>
  <c r="C439" i="4"/>
  <c r="L438" i="4" s="1"/>
  <c r="G1578" i="4"/>
  <c r="J1578" i="4" s="1"/>
  <c r="M1578" i="4" s="1"/>
  <c r="D1652" i="4" s="1"/>
  <c r="E1578" i="4"/>
  <c r="H1578" i="4" s="1"/>
  <c r="K1578" i="4" s="1"/>
  <c r="N1578" i="4" s="1"/>
  <c r="E1652" i="4" s="1"/>
  <c r="E1333" i="4"/>
  <c r="H1333" i="4" s="1"/>
  <c r="K1333" i="4" s="1"/>
  <c r="N1333" i="4" s="1"/>
  <c r="E1407" i="4" s="1"/>
  <c r="G1333" i="4"/>
  <c r="J1333" i="4" s="1"/>
  <c r="M1333" i="4" s="1"/>
  <c r="D1407" i="4" s="1"/>
  <c r="E597" i="4"/>
  <c r="H597" i="4" s="1"/>
  <c r="K597" i="4" s="1"/>
  <c r="N597" i="4" s="1"/>
  <c r="E671" i="4" s="1"/>
  <c r="G597" i="4"/>
  <c r="J597" i="4" s="1"/>
  <c r="M597" i="4" s="1"/>
  <c r="D671" i="4" s="1"/>
  <c r="E842" i="4"/>
  <c r="H842" i="4" s="1"/>
  <c r="K842" i="4" s="1"/>
  <c r="N842" i="4" s="1"/>
  <c r="E916" i="4" s="1"/>
  <c r="G842" i="4"/>
  <c r="J842" i="4" s="1"/>
  <c r="M842" i="4" s="1"/>
  <c r="D916" i="4" s="1"/>
  <c r="F606" i="4"/>
  <c r="I606" i="4" s="1"/>
  <c r="L606" i="4" s="1"/>
  <c r="C680" i="4" s="1"/>
  <c r="L679" i="4" s="1"/>
  <c r="D606" i="4"/>
  <c r="D111" i="4"/>
  <c r="F111" i="4"/>
  <c r="I111" i="4" s="1"/>
  <c r="L111" i="4" s="1"/>
  <c r="C187" i="4" s="1"/>
  <c r="L186" i="4" s="1"/>
  <c r="F1342" i="4"/>
  <c r="I1342" i="4" s="1"/>
  <c r="L1342" i="4" s="1"/>
  <c r="C1416" i="4" s="1"/>
  <c r="L1415" i="4" s="1"/>
  <c r="D1342" i="4"/>
  <c r="D361" i="4"/>
  <c r="F361" i="4"/>
  <c r="I361" i="4" s="1"/>
  <c r="L361" i="4" s="1"/>
  <c r="D1095" i="4"/>
  <c r="F1095" i="4"/>
  <c r="I1095" i="4" s="1"/>
  <c r="L1095" i="4" s="1"/>
  <c r="C1169" i="4" s="1"/>
  <c r="L1168" i="4" s="1"/>
  <c r="F605" i="4"/>
  <c r="I605" i="4" s="1"/>
  <c r="L605" i="4" s="1"/>
  <c r="D605" i="4"/>
  <c r="F850" i="4"/>
  <c r="I850" i="4" s="1"/>
  <c r="L850" i="4" s="1"/>
  <c r="C924" i="4" s="1"/>
  <c r="L923" i="4" s="1"/>
  <c r="D850" i="4"/>
  <c r="F862" i="4"/>
  <c r="I862" i="4" s="1"/>
  <c r="L862" i="4" s="1"/>
  <c r="C936" i="4" s="1"/>
  <c r="L935" i="4" s="1"/>
  <c r="D862" i="4"/>
  <c r="D617" i="4"/>
  <c r="F617" i="4"/>
  <c r="I617" i="4" s="1"/>
  <c r="L617" i="4" s="1"/>
  <c r="C691" i="4" s="1"/>
  <c r="L690" i="4" s="1"/>
  <c r="D1599" i="4"/>
  <c r="F1599" i="4"/>
  <c r="I1599" i="4" s="1"/>
  <c r="L1599" i="4" s="1"/>
  <c r="C1673" i="4" s="1"/>
  <c r="L1672" i="4" s="1"/>
  <c r="D372" i="4"/>
  <c r="F372" i="4"/>
  <c r="I372" i="4" s="1"/>
  <c r="L372" i="4" s="1"/>
  <c r="F622" i="4"/>
  <c r="I622" i="4" s="1"/>
  <c r="L622" i="4" s="1"/>
  <c r="D622" i="4"/>
  <c r="F1112" i="4"/>
  <c r="I1112" i="4" s="1"/>
  <c r="L1112" i="4" s="1"/>
  <c r="C1186" i="4" s="1"/>
  <c r="L1185" i="4" s="1"/>
  <c r="D1112" i="4"/>
  <c r="D1604" i="4"/>
  <c r="F1604" i="4"/>
  <c r="I1604" i="4" s="1"/>
  <c r="L1604" i="4" s="1"/>
  <c r="C186" i="6"/>
  <c r="D224" i="6"/>
  <c r="C182" i="6"/>
  <c r="D220" i="6"/>
  <c r="C178" i="6"/>
  <c r="D216" i="6"/>
  <c r="C174" i="6"/>
  <c r="D212" i="6"/>
  <c r="C194" i="6"/>
  <c r="D232" i="6"/>
  <c r="C190" i="6"/>
  <c r="D228" i="6"/>
  <c r="C185" i="6"/>
  <c r="D223" i="6"/>
  <c r="C181" i="6"/>
  <c r="D219" i="6"/>
  <c r="C177" i="6"/>
  <c r="D215" i="6"/>
  <c r="C173" i="6"/>
  <c r="D211" i="6"/>
  <c r="C171" i="6"/>
  <c r="D209" i="6"/>
  <c r="C193" i="6"/>
  <c r="D231" i="6"/>
  <c r="C189" i="6"/>
  <c r="D227" i="6"/>
  <c r="C1470" i="4"/>
  <c r="J1470" i="4" s="1"/>
  <c r="J167" i="6"/>
  <c r="H205" i="6"/>
  <c r="J205" i="6" s="1"/>
  <c r="O94" i="6" s="1"/>
  <c r="I335" i="7"/>
  <c r="L335" i="7" s="1"/>
  <c r="I342" i="7"/>
  <c r="L342" i="7" s="1"/>
  <c r="I344" i="7"/>
  <c r="L344" i="7" s="1"/>
  <c r="I345" i="7"/>
  <c r="L345" i="7" s="1"/>
  <c r="J41" i="7"/>
  <c r="B362" i="7" s="1"/>
  <c r="J44" i="7"/>
  <c r="B365" i="7" s="1"/>
  <c r="J49" i="7"/>
  <c r="B370" i="7" s="1"/>
  <c r="J57" i="7"/>
  <c r="B378" i="7" s="1"/>
  <c r="J66" i="7"/>
  <c r="B387" i="7" s="1"/>
  <c r="J72" i="8"/>
  <c r="A380" i="8" s="1"/>
  <c r="J60" i="8"/>
  <c r="A368" i="8" s="1"/>
  <c r="J52" i="8"/>
  <c r="A360" i="8" s="1"/>
  <c r="G217" i="5"/>
  <c r="L254" i="5" s="1"/>
  <c r="G71" i="5"/>
  <c r="L108" i="5" s="1"/>
  <c r="G59" i="5"/>
  <c r="L96" i="5" s="1"/>
  <c r="G72" i="5"/>
  <c r="L109" i="5" s="1"/>
  <c r="J46" i="8"/>
  <c r="A354" i="8" s="1"/>
  <c r="J66" i="8"/>
  <c r="A374" i="8" s="1"/>
  <c r="J57" i="8"/>
  <c r="A365" i="8" s="1"/>
  <c r="J49" i="8"/>
  <c r="A357" i="8" s="1"/>
  <c r="J44" i="8"/>
  <c r="A352" i="8" s="1"/>
  <c r="J65" i="8"/>
  <c r="A373" i="8" s="1"/>
  <c r="C711" i="4"/>
  <c r="J711" i="4" s="1"/>
  <c r="J69" i="8"/>
  <c r="A377" i="8" s="1"/>
  <c r="M348" i="7"/>
  <c r="L25" i="7" s="1"/>
  <c r="M356" i="7"/>
  <c r="L33" i="7" s="1"/>
  <c r="G68" i="5"/>
  <c r="L105" i="5" s="1"/>
  <c r="G216" i="5"/>
  <c r="L253" i="5" s="1"/>
  <c r="G227" i="5"/>
  <c r="L264" i="5" s="1"/>
  <c r="G60" i="5"/>
  <c r="L97" i="5" s="1"/>
  <c r="G212" i="5"/>
  <c r="L249" i="5" s="1"/>
  <c r="J42" i="8"/>
  <c r="A350" i="8" s="1"/>
  <c r="J51" i="8"/>
  <c r="A359" i="8" s="1"/>
  <c r="J59" i="8"/>
  <c r="A367" i="8" s="1"/>
  <c r="J71" i="7"/>
  <c r="B392" i="7" s="1"/>
  <c r="J56" i="7"/>
  <c r="B377" i="7" s="1"/>
  <c r="J48" i="7"/>
  <c r="B369" i="7" s="1"/>
  <c r="J63" i="7"/>
  <c r="B384" i="7" s="1"/>
  <c r="J58" i="7"/>
  <c r="B379" i="7" s="1"/>
  <c r="J50" i="7"/>
  <c r="B371" i="7" s="1"/>
  <c r="J45" i="7"/>
  <c r="B366" i="7" s="1"/>
  <c r="G225" i="5"/>
  <c r="L262" i="5" s="1"/>
  <c r="G213" i="5"/>
  <c r="L250" i="5" s="1"/>
  <c r="G226" i="5"/>
  <c r="L263" i="5" s="1"/>
  <c r="J68" i="8"/>
  <c r="A376" i="8" s="1"/>
  <c r="J64" i="8"/>
  <c r="A372" i="8" s="1"/>
  <c r="J55" i="8"/>
  <c r="A363" i="8" s="1"/>
  <c r="J47" i="8"/>
  <c r="A355" i="8" s="1"/>
  <c r="J67" i="8"/>
  <c r="A375" i="8" s="1"/>
  <c r="J41" i="8"/>
  <c r="A349" i="8" s="1"/>
  <c r="J344" i="8" l="1"/>
  <c r="J69" i="1" s="1"/>
  <c r="C470" i="4"/>
  <c r="J470" i="4" s="1"/>
  <c r="E460" i="4"/>
  <c r="B30" i="5"/>
  <c r="I63" i="1"/>
  <c r="G601" i="4"/>
  <c r="J601" i="4" s="1"/>
  <c r="M601" i="4" s="1"/>
  <c r="D675" i="4" s="1"/>
  <c r="B38" i="5"/>
  <c r="C38" i="5" s="1"/>
  <c r="D38" i="5" s="1"/>
  <c r="B29" i="4"/>
  <c r="B522" i="4" s="1"/>
  <c r="C522" i="4" s="1"/>
  <c r="J337" i="8"/>
  <c r="J62" i="1" s="1"/>
  <c r="B46" i="4" s="1"/>
  <c r="B37" i="4"/>
  <c r="B1266" i="4" s="1"/>
  <c r="C1266" i="4" s="1"/>
  <c r="I58" i="1"/>
  <c r="I53" i="1"/>
  <c r="D720" i="4"/>
  <c r="I52" i="1"/>
  <c r="I67" i="1"/>
  <c r="J336" i="8"/>
  <c r="J61" i="1" s="1"/>
  <c r="B45" i="4" s="1"/>
  <c r="B783" i="4" s="1"/>
  <c r="C783" i="4" s="1"/>
  <c r="I55" i="1"/>
  <c r="I64" i="1"/>
  <c r="R262" i="2"/>
  <c r="U262" i="2" s="1"/>
  <c r="K6" i="2" s="1"/>
  <c r="R263" i="2"/>
  <c r="V263" i="2" s="1"/>
  <c r="C970" i="4"/>
  <c r="J970" i="4" s="1"/>
  <c r="R265" i="2"/>
  <c r="V265" i="2" s="1"/>
  <c r="C727" i="4"/>
  <c r="J727" i="4" s="1"/>
  <c r="E323" i="2"/>
  <c r="P323" i="2" s="1"/>
  <c r="Q323" i="2" s="1"/>
  <c r="B31" i="5"/>
  <c r="B185" i="5" s="1"/>
  <c r="C185" i="5" s="1"/>
  <c r="D185" i="5" s="1"/>
  <c r="D1224" i="4"/>
  <c r="B21" i="5"/>
  <c r="C21" i="5" s="1"/>
  <c r="D21" i="5" s="1"/>
  <c r="P320" i="2"/>
  <c r="Q320" i="2" s="1"/>
  <c r="E369" i="8"/>
  <c r="F369" i="8" s="1"/>
  <c r="B369" i="8"/>
  <c r="D369" i="8" s="1"/>
  <c r="E979" i="4"/>
  <c r="B51" i="4"/>
  <c r="B789" i="4" s="1"/>
  <c r="C789" i="4" s="1"/>
  <c r="E1697" i="4"/>
  <c r="E1459" i="4"/>
  <c r="E362" i="8"/>
  <c r="F362" i="8" s="1"/>
  <c r="E706" i="4"/>
  <c r="O256" i="5"/>
  <c r="D460" i="4"/>
  <c r="E1470" i="4"/>
  <c r="C351" i="8"/>
  <c r="D351" i="8" s="1"/>
  <c r="O251" i="5"/>
  <c r="E1205" i="4"/>
  <c r="D706" i="4"/>
  <c r="D968" i="4"/>
  <c r="C1218" i="4"/>
  <c r="J1218" i="4" s="1"/>
  <c r="I65" i="1"/>
  <c r="T264" i="2"/>
  <c r="W264" i="2" s="1"/>
  <c r="E1688" i="4"/>
  <c r="R266" i="2"/>
  <c r="V266" i="2" s="1"/>
  <c r="D951" i="4"/>
  <c r="C1713" i="4"/>
  <c r="J1713" i="4" s="1"/>
  <c r="T267" i="2"/>
  <c r="W267" i="2" s="1"/>
  <c r="E370" i="8"/>
  <c r="F370" i="8" s="1"/>
  <c r="E1456" i="4"/>
  <c r="E317" i="2"/>
  <c r="P317" i="2" s="1"/>
  <c r="R260" i="2"/>
  <c r="U260" i="2" s="1"/>
  <c r="K4" i="2" s="1"/>
  <c r="E1195" i="4"/>
  <c r="C1214" i="4"/>
  <c r="J1214" i="4" s="1"/>
  <c r="E965" i="4"/>
  <c r="J334" i="8"/>
  <c r="J59" i="1" s="1"/>
  <c r="C1221" i="4"/>
  <c r="J1221" i="4" s="1"/>
  <c r="C728" i="4"/>
  <c r="J728" i="4" s="1"/>
  <c r="C1467" i="4"/>
  <c r="J1467" i="4" s="1"/>
  <c r="E351" i="8"/>
  <c r="F351" i="8" s="1"/>
  <c r="C370" i="8"/>
  <c r="D370" i="8" s="1"/>
  <c r="D705" i="4"/>
  <c r="D1705" i="4"/>
  <c r="M344" i="7"/>
  <c r="L21" i="7" s="1"/>
  <c r="C1471" i="4"/>
  <c r="J1471" i="4" s="1"/>
  <c r="E318" i="2"/>
  <c r="P318" i="2" s="1"/>
  <c r="E316" i="2"/>
  <c r="P316" i="2" s="1"/>
  <c r="Q316" i="2" s="1"/>
  <c r="D734" i="4"/>
  <c r="O111" i="5"/>
  <c r="O94" i="5"/>
  <c r="E953" i="4"/>
  <c r="O252" i="5"/>
  <c r="C1203" i="4"/>
  <c r="J1203" i="4" s="1"/>
  <c r="E210" i="4"/>
  <c r="D953" i="4"/>
  <c r="R268" i="2"/>
  <c r="U268" i="2" s="1"/>
  <c r="K12" i="2" s="1"/>
  <c r="E723" i="4"/>
  <c r="C980" i="4"/>
  <c r="J980" i="4" s="1"/>
  <c r="E715" i="4"/>
  <c r="D957" i="4"/>
  <c r="C1695" i="4"/>
  <c r="J1695" i="4" s="1"/>
  <c r="C1460" i="4"/>
  <c r="J1460" i="4" s="1"/>
  <c r="C1466" i="4"/>
  <c r="J1466" i="4" s="1"/>
  <c r="E705" i="4"/>
  <c r="C489" i="4"/>
  <c r="J489" i="4" s="1"/>
  <c r="O98" i="5"/>
  <c r="E305" i="2"/>
  <c r="P305" i="2" s="1"/>
  <c r="Q305" i="2" s="1"/>
  <c r="C361" i="8"/>
  <c r="D361" i="8" s="1"/>
  <c r="C1700" i="4"/>
  <c r="J1700" i="4" s="1"/>
  <c r="O248" i="5"/>
  <c r="P299" i="2"/>
  <c r="Q299" i="2" s="1"/>
  <c r="C1709" i="4"/>
  <c r="J1709" i="4" s="1"/>
  <c r="C481" i="4"/>
  <c r="J481" i="4" s="1"/>
  <c r="D1198" i="4"/>
  <c r="E951" i="4"/>
  <c r="O122" i="5"/>
  <c r="E361" i="8"/>
  <c r="F361" i="8" s="1"/>
  <c r="P295" i="2"/>
  <c r="Q295" i="2" s="1"/>
  <c r="D1459" i="4"/>
  <c r="E298" i="2"/>
  <c r="P298" i="2" s="1"/>
  <c r="Q298" i="2" s="1"/>
  <c r="D960" i="4"/>
  <c r="D1470" i="4"/>
  <c r="E1445" i="4"/>
  <c r="C1449" i="4"/>
  <c r="J1449" i="4" s="1"/>
  <c r="D1703" i="4"/>
  <c r="E1687" i="4"/>
  <c r="D1456" i="4"/>
  <c r="C472" i="4"/>
  <c r="J472" i="4" s="1"/>
  <c r="O247" i="5"/>
  <c r="P324" i="2"/>
  <c r="Q324" i="2" s="1"/>
  <c r="O259" i="5"/>
  <c r="E1458" i="4"/>
  <c r="E720" i="4"/>
  <c r="O257" i="5"/>
  <c r="D1196" i="4"/>
  <c r="P315" i="2"/>
  <c r="Q315" i="2" s="1"/>
  <c r="J335" i="8"/>
  <c r="J60" i="1" s="1"/>
  <c r="I60" i="1"/>
  <c r="E313" i="2"/>
  <c r="P313" i="2" s="1"/>
  <c r="E1716" i="4"/>
  <c r="D1453" i="4"/>
  <c r="B362" i="8"/>
  <c r="D362" i="8" s="1"/>
  <c r="D1213" i="4"/>
  <c r="O99" i="5"/>
  <c r="E968" i="4"/>
  <c r="E1448" i="4"/>
  <c r="E1211" i="4"/>
  <c r="O100" i="5"/>
  <c r="D723" i="4"/>
  <c r="P314" i="2"/>
  <c r="X314" i="2" s="1"/>
  <c r="C1718" i="4"/>
  <c r="J1718" i="4" s="1"/>
  <c r="D1448" i="4"/>
  <c r="C1714" i="4"/>
  <c r="J1714" i="4" s="1"/>
  <c r="D1688" i="4"/>
  <c r="E1202" i="4"/>
  <c r="M357" i="7"/>
  <c r="L34" i="7" s="1"/>
  <c r="O33" i="6"/>
  <c r="N37" i="6" s="1"/>
  <c r="N42" i="6" s="1"/>
  <c r="C719" i="4"/>
  <c r="J719" i="4" s="1"/>
  <c r="C729" i="4"/>
  <c r="J729" i="4" s="1"/>
  <c r="O276" i="5"/>
  <c r="E1224" i="4"/>
  <c r="P309" i="2"/>
  <c r="Q309" i="2" s="1"/>
  <c r="P297" i="2"/>
  <c r="Q297" i="2" s="1"/>
  <c r="E1689" i="4"/>
  <c r="E1703" i="4"/>
  <c r="E1196" i="4"/>
  <c r="C1710" i="4"/>
  <c r="J1710" i="4" s="1"/>
  <c r="C482" i="4"/>
  <c r="J482" i="4" s="1"/>
  <c r="D1202" i="4"/>
  <c r="E307" i="2"/>
  <c r="P307" i="2" s="1"/>
  <c r="Q307" i="2" s="1"/>
  <c r="P319" i="2"/>
  <c r="Q319" i="2" s="1"/>
  <c r="E960" i="4"/>
  <c r="J343" i="8"/>
  <c r="J68" i="1" s="1"/>
  <c r="I68" i="1"/>
  <c r="O93" i="5"/>
  <c r="C1219" i="4"/>
  <c r="J1219" i="4" s="1"/>
  <c r="C736" i="4"/>
  <c r="J736" i="4" s="1"/>
  <c r="P322" i="2"/>
  <c r="Q322" i="2" s="1"/>
  <c r="D715" i="4"/>
  <c r="E300" i="2"/>
  <c r="P300" i="2" s="1"/>
  <c r="C733" i="4"/>
  <c r="J733" i="4" s="1"/>
  <c r="D1689" i="4"/>
  <c r="E1451" i="4"/>
  <c r="C1222" i="4"/>
  <c r="J1222" i="4" s="1"/>
  <c r="E1705" i="4"/>
  <c r="O80" i="6"/>
  <c r="S270" i="2"/>
  <c r="S340" i="2"/>
  <c r="P340" i="2" s="1"/>
  <c r="P269" i="2"/>
  <c r="V338" i="2"/>
  <c r="U338" i="2"/>
  <c r="K86" i="2" s="1"/>
  <c r="Q339" i="2"/>
  <c r="R339" i="2" s="1"/>
  <c r="X339" i="2"/>
  <c r="M86" i="2"/>
  <c r="T338" i="2"/>
  <c r="W338" i="2" s="1"/>
  <c r="G115" i="1"/>
  <c r="L85" i="2"/>
  <c r="H115" i="1" s="1"/>
  <c r="C732" i="4"/>
  <c r="J732" i="4" s="1"/>
  <c r="O102" i="5"/>
  <c r="D1716" i="4"/>
  <c r="C1472" i="4"/>
  <c r="J1472" i="4" s="1"/>
  <c r="D1445" i="4"/>
  <c r="C1463" i="4"/>
  <c r="J1463" i="4" s="1"/>
  <c r="C1469" i="4"/>
  <c r="J1469" i="4" s="1"/>
  <c r="C1461" i="4"/>
  <c r="J1461" i="4" s="1"/>
  <c r="C1454" i="4"/>
  <c r="J1454" i="4" s="1"/>
  <c r="D1458" i="4"/>
  <c r="C1462" i="4"/>
  <c r="J1462" i="4" s="1"/>
  <c r="G86" i="5"/>
  <c r="L123" i="5" s="1"/>
  <c r="O123" i="5" s="1"/>
  <c r="G69" i="5"/>
  <c r="L106" i="5" s="1"/>
  <c r="N106" i="5" s="1"/>
  <c r="C726" i="4"/>
  <c r="J726" i="4" s="1"/>
  <c r="M343" i="7"/>
  <c r="L20" i="7" s="1"/>
  <c r="M340" i="7"/>
  <c r="L17" i="7" s="1"/>
  <c r="C1715" i="4"/>
  <c r="J1715" i="4" s="1"/>
  <c r="C1707" i="4"/>
  <c r="J1707" i="4" s="1"/>
  <c r="D1687" i="4"/>
  <c r="E734" i="4"/>
  <c r="D1451" i="4"/>
  <c r="C1468" i="4"/>
  <c r="J1468" i="4" s="1"/>
  <c r="C1452" i="4"/>
  <c r="J1452" i="4" s="1"/>
  <c r="E467" i="4"/>
  <c r="O265" i="5"/>
  <c r="C491" i="4"/>
  <c r="J491" i="4" s="1"/>
  <c r="E1213" i="4"/>
  <c r="D1205" i="4"/>
  <c r="E304" i="2"/>
  <c r="E312" i="2"/>
  <c r="P312" i="2" s="1"/>
  <c r="P325" i="2"/>
  <c r="X325" i="2" s="1"/>
  <c r="O103" i="5"/>
  <c r="D965" i="4"/>
  <c r="D979" i="4"/>
  <c r="R261" i="2"/>
  <c r="U261" i="2" s="1"/>
  <c r="K5" i="2" s="1"/>
  <c r="D1697" i="4"/>
  <c r="D1211" i="4"/>
  <c r="E1198" i="4"/>
  <c r="D1195" i="4"/>
  <c r="L315" i="2"/>
  <c r="L311" i="2"/>
  <c r="E311" i="2"/>
  <c r="P311" i="2" s="1"/>
  <c r="D210" i="4"/>
  <c r="M331" i="7"/>
  <c r="L8" i="7" s="1"/>
  <c r="M352" i="7"/>
  <c r="L29" i="7" s="1"/>
  <c r="D910" i="4"/>
  <c r="D949" i="4"/>
  <c r="D1686" i="4"/>
  <c r="D1647" i="4"/>
  <c r="E665" i="4"/>
  <c r="E704" i="4"/>
  <c r="D1155" i="4"/>
  <c r="D1194" i="4"/>
  <c r="D1401" i="4"/>
  <c r="D1440" i="4"/>
  <c r="M335" i="7"/>
  <c r="L12" i="7" s="1"/>
  <c r="G84" i="5"/>
  <c r="L121" i="5" s="1"/>
  <c r="N121" i="5" s="1"/>
  <c r="G82" i="5"/>
  <c r="L119" i="5" s="1"/>
  <c r="O119" i="5" s="1"/>
  <c r="G79" i="5"/>
  <c r="L116" i="5" s="1"/>
  <c r="N116" i="5" s="1"/>
  <c r="G230" i="5"/>
  <c r="L267" i="5" s="1"/>
  <c r="O267" i="5" s="1"/>
  <c r="G83" i="5"/>
  <c r="L120" i="5" s="1"/>
  <c r="O120" i="5" s="1"/>
  <c r="G67" i="5"/>
  <c r="L104" i="5" s="1"/>
  <c r="O104" i="5" s="1"/>
  <c r="G64" i="5"/>
  <c r="L101" i="5" s="1"/>
  <c r="N101" i="5" s="1"/>
  <c r="E321" i="2"/>
  <c r="P321" i="2" s="1"/>
  <c r="Q321" i="2" s="1"/>
  <c r="L321" i="2"/>
  <c r="E1444" i="4"/>
  <c r="L326" i="2"/>
  <c r="M332" i="7"/>
  <c r="L9" i="7" s="1"/>
  <c r="M350" i="7"/>
  <c r="L27" i="7" s="1"/>
  <c r="G238" i="5"/>
  <c r="L275" i="5" s="1"/>
  <c r="O275" i="5" s="1"/>
  <c r="G234" i="5"/>
  <c r="L271" i="5" s="1"/>
  <c r="O271" i="5" s="1"/>
  <c r="G76" i="5"/>
  <c r="L113" i="5" s="1"/>
  <c r="N113" i="5" s="1"/>
  <c r="G237" i="5"/>
  <c r="L274" i="5" s="1"/>
  <c r="N274" i="5" s="1"/>
  <c r="G221" i="5"/>
  <c r="L258" i="5" s="1"/>
  <c r="O258" i="5" s="1"/>
  <c r="E1197" i="4"/>
  <c r="E1201" i="4"/>
  <c r="P304" i="2"/>
  <c r="Q304" i="2" s="1"/>
  <c r="P302" i="2"/>
  <c r="Q302" i="2" s="1"/>
  <c r="G223" i="5"/>
  <c r="L260" i="5" s="1"/>
  <c r="N260" i="5" s="1"/>
  <c r="D1212" i="4"/>
  <c r="L307" i="2"/>
  <c r="L303" i="2"/>
  <c r="E303" i="2"/>
  <c r="P303" i="2" s="1"/>
  <c r="Q303" i="2" s="1"/>
  <c r="M353" i="7"/>
  <c r="L30" i="7" s="1"/>
  <c r="O92" i="5"/>
  <c r="E949" i="4"/>
  <c r="E910" i="4"/>
  <c r="E1686" i="4"/>
  <c r="E1647" i="4"/>
  <c r="D665" i="4"/>
  <c r="D704" i="4"/>
  <c r="E1155" i="4"/>
  <c r="E1194" i="4"/>
  <c r="E1401" i="4"/>
  <c r="E1440" i="4"/>
  <c r="E1457" i="4"/>
  <c r="P326" i="2"/>
  <c r="Q326" i="2" s="1"/>
  <c r="D1204" i="4"/>
  <c r="O246" i="5"/>
  <c r="J361" i="7"/>
  <c r="K361" i="7" s="1"/>
  <c r="G361" i="7"/>
  <c r="H361" i="7" s="1"/>
  <c r="F361" i="7"/>
  <c r="G375" i="7"/>
  <c r="H375" i="7" s="1"/>
  <c r="J375" i="7"/>
  <c r="K375" i="7" s="1"/>
  <c r="F375" i="7"/>
  <c r="J383" i="7"/>
  <c r="K383" i="7" s="1"/>
  <c r="G383" i="7"/>
  <c r="H383" i="7" s="1"/>
  <c r="F383" i="7"/>
  <c r="G364" i="7"/>
  <c r="H364" i="7" s="1"/>
  <c r="J364" i="7"/>
  <c r="K364" i="7" s="1"/>
  <c r="F364" i="7"/>
  <c r="G393" i="7"/>
  <c r="J393" i="7"/>
  <c r="K393" i="7" s="1"/>
  <c r="F393" i="7"/>
  <c r="B349" i="8"/>
  <c r="C349" i="8"/>
  <c r="E349" i="8"/>
  <c r="F349" i="8" s="1"/>
  <c r="C372" i="8"/>
  <c r="E372" i="8"/>
  <c r="F372" i="8" s="1"/>
  <c r="B372" i="8"/>
  <c r="C379" i="7"/>
  <c r="D379" i="7" s="1"/>
  <c r="E379" i="7" s="1"/>
  <c r="C392" i="7"/>
  <c r="D392" i="7" s="1"/>
  <c r="E392" i="7" s="1"/>
  <c r="O249" i="5"/>
  <c r="N249" i="5"/>
  <c r="O97" i="5"/>
  <c r="N97" i="5"/>
  <c r="O253" i="5"/>
  <c r="N253" i="5"/>
  <c r="E352" i="8"/>
  <c r="F352" i="8" s="1"/>
  <c r="B352" i="8"/>
  <c r="C352" i="8"/>
  <c r="B365" i="8"/>
  <c r="C365" i="8"/>
  <c r="E365" i="8"/>
  <c r="F365" i="8" s="1"/>
  <c r="O108" i="5"/>
  <c r="N108" i="5"/>
  <c r="B380" i="8"/>
  <c r="C380" i="8"/>
  <c r="E380" i="8"/>
  <c r="F380" i="8" s="1"/>
  <c r="C365" i="7"/>
  <c r="D365" i="7" s="1"/>
  <c r="E365" i="7" s="1"/>
  <c r="C486" i="4"/>
  <c r="J486" i="4" s="1"/>
  <c r="C447" i="4"/>
  <c r="L446" i="4" s="1"/>
  <c r="G862" i="4"/>
  <c r="J862" i="4" s="1"/>
  <c r="M862" i="4" s="1"/>
  <c r="E862" i="4"/>
  <c r="H862" i="4" s="1"/>
  <c r="K862" i="4" s="1"/>
  <c r="N862" i="4" s="1"/>
  <c r="E850" i="4"/>
  <c r="H850" i="4" s="1"/>
  <c r="K850" i="4" s="1"/>
  <c r="N850" i="4" s="1"/>
  <c r="G850" i="4"/>
  <c r="J850" i="4" s="1"/>
  <c r="M850" i="4" s="1"/>
  <c r="G605" i="4"/>
  <c r="J605" i="4" s="1"/>
  <c r="M605" i="4" s="1"/>
  <c r="E605" i="4"/>
  <c r="H605" i="4" s="1"/>
  <c r="K605" i="4" s="1"/>
  <c r="N605" i="4" s="1"/>
  <c r="G606" i="4"/>
  <c r="J606" i="4" s="1"/>
  <c r="M606" i="4" s="1"/>
  <c r="E606" i="4"/>
  <c r="H606" i="4" s="1"/>
  <c r="K606" i="4" s="1"/>
  <c r="N606" i="4" s="1"/>
  <c r="E223" i="4"/>
  <c r="E185" i="4"/>
  <c r="B374" i="3"/>
  <c r="F83" i="1"/>
  <c r="B338" i="3"/>
  <c r="C233" i="4"/>
  <c r="J232" i="4" s="1"/>
  <c r="C226" i="4"/>
  <c r="J225" i="4" s="1"/>
  <c r="D226" i="4"/>
  <c r="E226" i="4"/>
  <c r="F89" i="1"/>
  <c r="B344" i="3"/>
  <c r="B380" i="3"/>
  <c r="E174" i="4"/>
  <c r="B40" i="4"/>
  <c r="B36" i="5"/>
  <c r="B49" i="4"/>
  <c r="B45" i="5"/>
  <c r="B47" i="4"/>
  <c r="B43" i="5"/>
  <c r="G38" i="1"/>
  <c r="L3" i="2"/>
  <c r="H38" i="1" s="1"/>
  <c r="B1005" i="4" s="1"/>
  <c r="C1005" i="4" s="1"/>
  <c r="J191" i="6"/>
  <c r="C229" i="6"/>
  <c r="J229" i="6" s="1"/>
  <c r="O118" i="6" s="1"/>
  <c r="D213" i="4"/>
  <c r="D175" i="4"/>
  <c r="E463" i="4"/>
  <c r="E424" i="4"/>
  <c r="E709" i="4"/>
  <c r="E670" i="4"/>
  <c r="E465" i="4"/>
  <c r="E426" i="4"/>
  <c r="E1356" i="4"/>
  <c r="H1356" i="4" s="1"/>
  <c r="K1356" i="4" s="1"/>
  <c r="N1356" i="4" s="1"/>
  <c r="G1356" i="4"/>
  <c r="J1356" i="4" s="1"/>
  <c r="M1356" i="4" s="1"/>
  <c r="G371" i="4"/>
  <c r="J371" i="4" s="1"/>
  <c r="M371" i="4" s="1"/>
  <c r="E371" i="4"/>
  <c r="H371" i="4" s="1"/>
  <c r="K371" i="4" s="1"/>
  <c r="N371" i="4" s="1"/>
  <c r="G121" i="4"/>
  <c r="J121" i="4" s="1"/>
  <c r="M121" i="4" s="1"/>
  <c r="D197" i="4" s="1"/>
  <c r="E121" i="4"/>
  <c r="H121" i="4" s="1"/>
  <c r="K121" i="4" s="1"/>
  <c r="N121" i="4" s="1"/>
  <c r="E197" i="4" s="1"/>
  <c r="E1595" i="4"/>
  <c r="H1595" i="4" s="1"/>
  <c r="K1595" i="4" s="1"/>
  <c r="N1595" i="4" s="1"/>
  <c r="G1595" i="4"/>
  <c r="J1595" i="4" s="1"/>
  <c r="M1595" i="4" s="1"/>
  <c r="G858" i="4"/>
  <c r="J858" i="4" s="1"/>
  <c r="M858" i="4" s="1"/>
  <c r="E858" i="4"/>
  <c r="H858" i="4" s="1"/>
  <c r="K858" i="4" s="1"/>
  <c r="N858" i="4" s="1"/>
  <c r="C480" i="4"/>
  <c r="J480" i="4" s="1"/>
  <c r="C441" i="4"/>
  <c r="L440" i="4" s="1"/>
  <c r="E1593" i="4"/>
  <c r="H1593" i="4" s="1"/>
  <c r="K1593" i="4" s="1"/>
  <c r="N1593" i="4" s="1"/>
  <c r="G1593" i="4"/>
  <c r="J1593" i="4" s="1"/>
  <c r="M1593" i="4" s="1"/>
  <c r="E611" i="4"/>
  <c r="H611" i="4" s="1"/>
  <c r="K611" i="4" s="1"/>
  <c r="N611" i="4" s="1"/>
  <c r="G611" i="4"/>
  <c r="J611" i="4" s="1"/>
  <c r="M611" i="4" s="1"/>
  <c r="G856" i="4"/>
  <c r="J856" i="4" s="1"/>
  <c r="M856" i="4" s="1"/>
  <c r="E856" i="4"/>
  <c r="H856" i="4" s="1"/>
  <c r="K856" i="4" s="1"/>
  <c r="N856" i="4" s="1"/>
  <c r="E123" i="4"/>
  <c r="H123" i="4" s="1"/>
  <c r="K123" i="4" s="1"/>
  <c r="N123" i="4" s="1"/>
  <c r="G123" i="4"/>
  <c r="J123" i="4" s="1"/>
  <c r="M123" i="4" s="1"/>
  <c r="G370" i="4"/>
  <c r="J370" i="4" s="1"/>
  <c r="M370" i="4" s="1"/>
  <c r="D445" i="4" s="1"/>
  <c r="E370" i="4"/>
  <c r="H370" i="4" s="1"/>
  <c r="K370" i="4" s="1"/>
  <c r="N370" i="4" s="1"/>
  <c r="E120" i="4"/>
  <c r="H120" i="4" s="1"/>
  <c r="K120" i="4" s="1"/>
  <c r="N120" i="4" s="1"/>
  <c r="G120" i="4"/>
  <c r="J120" i="4" s="1"/>
  <c r="M120" i="4" s="1"/>
  <c r="D196" i="4" s="1"/>
  <c r="G117" i="4"/>
  <c r="J117" i="4" s="1"/>
  <c r="M117" i="4" s="1"/>
  <c r="E117" i="4"/>
  <c r="H117" i="4" s="1"/>
  <c r="K117" i="4" s="1"/>
  <c r="N117" i="4" s="1"/>
  <c r="G1102" i="4"/>
  <c r="J1102" i="4" s="1"/>
  <c r="M1102" i="4" s="1"/>
  <c r="E1102" i="4"/>
  <c r="H1102" i="4" s="1"/>
  <c r="K1102" i="4" s="1"/>
  <c r="N1102" i="4" s="1"/>
  <c r="G378" i="4"/>
  <c r="J378" i="4" s="1"/>
  <c r="M378" i="4" s="1"/>
  <c r="E378" i="4"/>
  <c r="H378" i="4" s="1"/>
  <c r="K378" i="4" s="1"/>
  <c r="N378" i="4" s="1"/>
  <c r="G128" i="4"/>
  <c r="J128" i="4" s="1"/>
  <c r="M128" i="4" s="1"/>
  <c r="D204" i="4" s="1"/>
  <c r="E128" i="4"/>
  <c r="H128" i="4" s="1"/>
  <c r="K128" i="4" s="1"/>
  <c r="N128" i="4" s="1"/>
  <c r="G619" i="4"/>
  <c r="J619" i="4" s="1"/>
  <c r="M619" i="4" s="1"/>
  <c r="E619" i="4"/>
  <c r="H619" i="4" s="1"/>
  <c r="K619" i="4" s="1"/>
  <c r="N619" i="4" s="1"/>
  <c r="E1350" i="4"/>
  <c r="H1350" i="4" s="1"/>
  <c r="K1350" i="4" s="1"/>
  <c r="N1350" i="4" s="1"/>
  <c r="G1350" i="4"/>
  <c r="J1350" i="4" s="1"/>
  <c r="M1350" i="4" s="1"/>
  <c r="E848" i="4"/>
  <c r="H848" i="4" s="1"/>
  <c r="K848" i="4" s="1"/>
  <c r="N848" i="4" s="1"/>
  <c r="G848" i="4"/>
  <c r="J848" i="4" s="1"/>
  <c r="M848" i="4" s="1"/>
  <c r="G1093" i="4"/>
  <c r="J1093" i="4" s="1"/>
  <c r="M1093" i="4" s="1"/>
  <c r="E1093" i="4"/>
  <c r="H1093" i="4" s="1"/>
  <c r="K1093" i="4" s="1"/>
  <c r="N1093" i="4" s="1"/>
  <c r="E355" i="4"/>
  <c r="H355" i="4" s="1"/>
  <c r="K355" i="4" s="1"/>
  <c r="N355" i="4" s="1"/>
  <c r="G355" i="4"/>
  <c r="J355" i="4" s="1"/>
  <c r="M355" i="4" s="1"/>
  <c r="H316" i="2"/>
  <c r="K316" i="2" s="1"/>
  <c r="L316" i="2"/>
  <c r="B211" i="4"/>
  <c r="C211" i="4" s="1"/>
  <c r="J210" i="4" s="1"/>
  <c r="U267" i="2"/>
  <c r="K11" i="2" s="1"/>
  <c r="V267" i="2"/>
  <c r="C388" i="7"/>
  <c r="D388" i="7" s="1"/>
  <c r="E388" i="7" s="1"/>
  <c r="C368" i="7"/>
  <c r="D368" i="7" s="1"/>
  <c r="E368" i="7" s="1"/>
  <c r="C376" i="7"/>
  <c r="D376" i="7" s="1"/>
  <c r="E376" i="7" s="1"/>
  <c r="C358" i="8"/>
  <c r="E358" i="8"/>
  <c r="F358" i="8" s="1"/>
  <c r="B358" i="8"/>
  <c r="E371" i="8"/>
  <c r="F371" i="8" s="1"/>
  <c r="B371" i="8"/>
  <c r="C371" i="8"/>
  <c r="E364" i="8"/>
  <c r="F364" i="8" s="1"/>
  <c r="C364" i="8"/>
  <c r="B364" i="8"/>
  <c r="C389" i="7"/>
  <c r="D389" i="7" s="1"/>
  <c r="E389" i="7" s="1"/>
  <c r="C363" i="7"/>
  <c r="D363" i="7" s="1"/>
  <c r="E363" i="7" s="1"/>
  <c r="C390" i="7"/>
  <c r="D390" i="7" s="1"/>
  <c r="E390" i="7" s="1"/>
  <c r="C374" i="7"/>
  <c r="D374" i="7" s="1"/>
  <c r="E374" i="7" s="1"/>
  <c r="C20" i="5"/>
  <c r="D20" i="5" s="1"/>
  <c r="B174" i="5"/>
  <c r="C174" i="5" s="1"/>
  <c r="D174" i="5" s="1"/>
  <c r="B184" i="5"/>
  <c r="C184" i="5" s="1"/>
  <c r="D184" i="5" s="1"/>
  <c r="C30" i="5"/>
  <c r="D30" i="5" s="1"/>
  <c r="B182" i="5"/>
  <c r="C182" i="5" s="1"/>
  <c r="D182" i="5" s="1"/>
  <c r="C28" i="5"/>
  <c r="D28" i="5" s="1"/>
  <c r="B201" i="5"/>
  <c r="C201" i="5" s="1"/>
  <c r="D201" i="5" s="1"/>
  <c r="C47" i="5"/>
  <c r="D47" i="5" s="1"/>
  <c r="B187" i="5"/>
  <c r="C187" i="5" s="1"/>
  <c r="D187" i="5" s="1"/>
  <c r="C33" i="5"/>
  <c r="D33" i="5" s="1"/>
  <c r="C29" i="5"/>
  <c r="D29" i="5" s="1"/>
  <c r="B183" i="5"/>
  <c r="C183" i="5" s="1"/>
  <c r="D183" i="5" s="1"/>
  <c r="B204" i="5"/>
  <c r="C204" i="5" s="1"/>
  <c r="D204" i="5" s="1"/>
  <c r="C50" i="5"/>
  <c r="D50" i="5" s="1"/>
  <c r="C18" i="5"/>
  <c r="B172" i="5"/>
  <c r="C172" i="5" s="1"/>
  <c r="D172" i="5" s="1"/>
  <c r="B179" i="5"/>
  <c r="C179" i="5" s="1"/>
  <c r="D179" i="5" s="1"/>
  <c r="C25" i="5"/>
  <c r="D25" i="5" s="1"/>
  <c r="E1441" i="4"/>
  <c r="C1441" i="4"/>
  <c r="J1441" i="4" s="1"/>
  <c r="D1441" i="4"/>
  <c r="F80" i="1"/>
  <c r="B335" i="3"/>
  <c r="B371" i="3"/>
  <c r="F88" i="1"/>
  <c r="B343" i="3"/>
  <c r="B379" i="3"/>
  <c r="C484" i="4"/>
  <c r="J484" i="4" s="1"/>
  <c r="F97" i="1"/>
  <c r="B352" i="3"/>
  <c r="B388" i="3"/>
  <c r="E1358" i="4"/>
  <c r="H1358" i="4" s="1"/>
  <c r="K1358" i="4" s="1"/>
  <c r="N1358" i="4" s="1"/>
  <c r="G1358" i="4"/>
  <c r="J1358" i="4" s="1"/>
  <c r="M1358" i="4" s="1"/>
  <c r="G127" i="4"/>
  <c r="J127" i="4" s="1"/>
  <c r="M127" i="4" s="1"/>
  <c r="E127" i="4"/>
  <c r="H127" i="4" s="1"/>
  <c r="K127" i="4" s="1"/>
  <c r="N127" i="4" s="1"/>
  <c r="G1353" i="4"/>
  <c r="J1353" i="4" s="1"/>
  <c r="M1353" i="4" s="1"/>
  <c r="E1353" i="4"/>
  <c r="H1353" i="4" s="1"/>
  <c r="K1353" i="4" s="1"/>
  <c r="N1353" i="4" s="1"/>
  <c r="G1107" i="4"/>
  <c r="J1107" i="4" s="1"/>
  <c r="M1107" i="4" s="1"/>
  <c r="E1107" i="4"/>
  <c r="H1107" i="4" s="1"/>
  <c r="K1107" i="4" s="1"/>
  <c r="N1107" i="4" s="1"/>
  <c r="G360" i="4"/>
  <c r="J360" i="4" s="1"/>
  <c r="M360" i="4" s="1"/>
  <c r="E360" i="4"/>
  <c r="H360" i="4" s="1"/>
  <c r="K360" i="4" s="1"/>
  <c r="N360" i="4" s="1"/>
  <c r="G1587" i="4"/>
  <c r="J1587" i="4" s="1"/>
  <c r="M1587" i="4" s="1"/>
  <c r="E1587" i="4"/>
  <c r="H1587" i="4" s="1"/>
  <c r="K1587" i="4" s="1"/>
  <c r="N1587" i="4" s="1"/>
  <c r="G110" i="4"/>
  <c r="J110" i="4" s="1"/>
  <c r="M110" i="4" s="1"/>
  <c r="D186" i="4" s="1"/>
  <c r="E110" i="4"/>
  <c r="H110" i="4" s="1"/>
  <c r="K110" i="4" s="1"/>
  <c r="N110" i="4" s="1"/>
  <c r="E186" i="4" s="1"/>
  <c r="E851" i="4"/>
  <c r="H851" i="4" s="1"/>
  <c r="K851" i="4" s="1"/>
  <c r="N851" i="4" s="1"/>
  <c r="G851" i="4"/>
  <c r="J851" i="4" s="1"/>
  <c r="M851" i="4" s="1"/>
  <c r="E1588" i="4"/>
  <c r="H1588" i="4" s="1"/>
  <c r="K1588" i="4" s="1"/>
  <c r="N1588" i="4" s="1"/>
  <c r="G1588" i="4"/>
  <c r="J1588" i="4" s="1"/>
  <c r="M1588" i="4" s="1"/>
  <c r="E466" i="4"/>
  <c r="E427" i="4"/>
  <c r="E177" i="4"/>
  <c r="E478" i="4"/>
  <c r="E439" i="4"/>
  <c r="D470" i="4"/>
  <c r="D431" i="4"/>
  <c r="B200" i="5"/>
  <c r="C200" i="5" s="1"/>
  <c r="D200" i="5" s="1"/>
  <c r="C46" i="5"/>
  <c r="D46" i="5" s="1"/>
  <c r="H304" i="2"/>
  <c r="L304" i="2"/>
  <c r="H312" i="2"/>
  <c r="N312" i="2" s="1"/>
  <c r="L312" i="2"/>
  <c r="K317" i="2"/>
  <c r="N317" i="2"/>
  <c r="K325" i="2"/>
  <c r="N325" i="2"/>
  <c r="C238" i="4"/>
  <c r="J237" i="4" s="1"/>
  <c r="C234" i="4"/>
  <c r="J233" i="4" s="1"/>
  <c r="D229" i="4"/>
  <c r="C229" i="4"/>
  <c r="J228" i="4" s="1"/>
  <c r="E229" i="4"/>
  <c r="C225" i="4"/>
  <c r="J224" i="4" s="1"/>
  <c r="B221" i="4"/>
  <c r="D217" i="4"/>
  <c r="C217" i="4"/>
  <c r="J216" i="4" s="1"/>
  <c r="B212" i="4"/>
  <c r="C212" i="4" s="1"/>
  <c r="J211" i="4" s="1"/>
  <c r="F75" i="1"/>
  <c r="B330" i="3"/>
  <c r="B366" i="3"/>
  <c r="D227" i="4"/>
  <c r="D189" i="4"/>
  <c r="D464" i="4"/>
  <c r="D425" i="4"/>
  <c r="D173" i="4"/>
  <c r="D422" i="4"/>
  <c r="D468" i="4"/>
  <c r="D429" i="4"/>
  <c r="M5" i="2"/>
  <c r="T261" i="2"/>
  <c r="W261" i="2" s="1"/>
  <c r="B53" i="4"/>
  <c r="B49" i="5"/>
  <c r="F77" i="1"/>
  <c r="B332" i="3"/>
  <c r="B368" i="3"/>
  <c r="F86" i="1"/>
  <c r="B341" i="3"/>
  <c r="B377" i="3"/>
  <c r="F94" i="1"/>
  <c r="B349" i="3"/>
  <c r="B385" i="3"/>
  <c r="F102" i="1"/>
  <c r="B357" i="3"/>
  <c r="B393" i="3"/>
  <c r="D467" i="4"/>
  <c r="D428" i="4"/>
  <c r="C381" i="7"/>
  <c r="D381" i="7" s="1"/>
  <c r="E381" i="7" s="1"/>
  <c r="C386" i="7"/>
  <c r="D386" i="7" s="1"/>
  <c r="E386" i="7" s="1"/>
  <c r="O110" i="5"/>
  <c r="N110" i="5"/>
  <c r="G367" i="7"/>
  <c r="H367" i="7" s="1"/>
  <c r="J367" i="7"/>
  <c r="K367" i="7" s="1"/>
  <c r="F367" i="7"/>
  <c r="C224" i="4"/>
  <c r="J223" i="4" s="1"/>
  <c r="F87" i="1"/>
  <c r="B342" i="3"/>
  <c r="B378" i="3"/>
  <c r="E213" i="4"/>
  <c r="C213" i="4"/>
  <c r="J212" i="4" s="1"/>
  <c r="F76" i="1"/>
  <c r="B331" i="3"/>
  <c r="B367" i="3"/>
  <c r="C230" i="4"/>
  <c r="J229" i="4" s="1"/>
  <c r="B384" i="3"/>
  <c r="F93" i="1"/>
  <c r="B348" i="3"/>
  <c r="K311" i="2"/>
  <c r="N311" i="2"/>
  <c r="C328" i="3"/>
  <c r="D328" i="3" s="1"/>
  <c r="E328" i="3" s="1"/>
  <c r="F328" i="3" s="1"/>
  <c r="B360" i="3"/>
  <c r="F105" i="1"/>
  <c r="B396" i="3"/>
  <c r="B27" i="5"/>
  <c r="B31" i="4"/>
  <c r="B27" i="4"/>
  <c r="B23" i="5"/>
  <c r="B26" i="4"/>
  <c r="B22" i="5"/>
  <c r="D711" i="4"/>
  <c r="D672" i="4"/>
  <c r="D473" i="4"/>
  <c r="D434" i="4"/>
  <c r="G1602" i="4"/>
  <c r="J1602" i="4" s="1"/>
  <c r="M1602" i="4" s="1"/>
  <c r="E1602" i="4"/>
  <c r="H1602" i="4" s="1"/>
  <c r="K1602" i="4" s="1"/>
  <c r="N1602" i="4" s="1"/>
  <c r="G613" i="4"/>
  <c r="J613" i="4" s="1"/>
  <c r="M613" i="4" s="1"/>
  <c r="E613" i="4"/>
  <c r="H613" i="4" s="1"/>
  <c r="K613" i="4" s="1"/>
  <c r="N613" i="4" s="1"/>
  <c r="G1349" i="4"/>
  <c r="J1349" i="4" s="1"/>
  <c r="M1349" i="4" s="1"/>
  <c r="E1349" i="4"/>
  <c r="H1349" i="4" s="1"/>
  <c r="K1349" i="4" s="1"/>
  <c r="N1349" i="4" s="1"/>
  <c r="C487" i="4"/>
  <c r="J487" i="4" s="1"/>
  <c r="C448" i="4"/>
  <c r="L447" i="4" s="1"/>
  <c r="G1600" i="4"/>
  <c r="J1600" i="4" s="1"/>
  <c r="M1600" i="4" s="1"/>
  <c r="E1600" i="4"/>
  <c r="H1600" i="4" s="1"/>
  <c r="K1600" i="4" s="1"/>
  <c r="N1600" i="4" s="1"/>
  <c r="E1354" i="4"/>
  <c r="H1354" i="4" s="1"/>
  <c r="K1354" i="4" s="1"/>
  <c r="N1354" i="4" s="1"/>
  <c r="G1354" i="4"/>
  <c r="J1354" i="4" s="1"/>
  <c r="M1354" i="4" s="1"/>
  <c r="G615" i="4"/>
  <c r="J615" i="4" s="1"/>
  <c r="M615" i="4" s="1"/>
  <c r="E615" i="4"/>
  <c r="H615" i="4" s="1"/>
  <c r="K615" i="4" s="1"/>
  <c r="N615" i="4" s="1"/>
  <c r="G1348" i="4"/>
  <c r="J1348" i="4" s="1"/>
  <c r="M1348" i="4" s="1"/>
  <c r="E1348" i="4"/>
  <c r="H1348" i="4" s="1"/>
  <c r="K1348" i="4" s="1"/>
  <c r="N1348" i="4" s="1"/>
  <c r="E1594" i="4"/>
  <c r="H1594" i="4" s="1"/>
  <c r="K1594" i="4" s="1"/>
  <c r="N1594" i="4" s="1"/>
  <c r="G1594" i="4"/>
  <c r="J1594" i="4" s="1"/>
  <c r="M1594" i="4" s="1"/>
  <c r="E1359" i="4"/>
  <c r="H1359" i="4" s="1"/>
  <c r="K1359" i="4" s="1"/>
  <c r="N1359" i="4" s="1"/>
  <c r="G1359" i="4"/>
  <c r="J1359" i="4" s="1"/>
  <c r="M1359" i="4" s="1"/>
  <c r="G374" i="4"/>
  <c r="J374" i="4" s="1"/>
  <c r="M374" i="4" s="1"/>
  <c r="E374" i="4"/>
  <c r="H374" i="4" s="1"/>
  <c r="K374" i="4" s="1"/>
  <c r="N374" i="4" s="1"/>
  <c r="G1355" i="4"/>
  <c r="J1355" i="4" s="1"/>
  <c r="M1355" i="4" s="1"/>
  <c r="E1355" i="4"/>
  <c r="H1355" i="4" s="1"/>
  <c r="K1355" i="4" s="1"/>
  <c r="N1355" i="4" s="1"/>
  <c r="G1339" i="4"/>
  <c r="J1339" i="4" s="1"/>
  <c r="M1339" i="4" s="1"/>
  <c r="E1339" i="4"/>
  <c r="H1339" i="4" s="1"/>
  <c r="K1339" i="4" s="1"/>
  <c r="N1339" i="4" s="1"/>
  <c r="C716" i="4"/>
  <c r="J716" i="4" s="1"/>
  <c r="C677" i="4"/>
  <c r="L676" i="4" s="1"/>
  <c r="E1582" i="4"/>
  <c r="H1582" i="4" s="1"/>
  <c r="K1582" i="4" s="1"/>
  <c r="N1582" i="4" s="1"/>
  <c r="G1582" i="4"/>
  <c r="J1582" i="4" s="1"/>
  <c r="M1582" i="4" s="1"/>
  <c r="G845" i="4"/>
  <c r="J845" i="4" s="1"/>
  <c r="M845" i="4" s="1"/>
  <c r="E845" i="4"/>
  <c r="H845" i="4" s="1"/>
  <c r="K845" i="4" s="1"/>
  <c r="N845" i="4" s="1"/>
  <c r="K323" i="2"/>
  <c r="N323" i="2"/>
  <c r="E477" i="4"/>
  <c r="E438" i="4"/>
  <c r="E214" i="4"/>
  <c r="E176" i="4"/>
  <c r="E462" i="4"/>
  <c r="E423" i="4"/>
  <c r="D476" i="4"/>
  <c r="D437" i="4"/>
  <c r="E180" i="4"/>
  <c r="B39" i="4"/>
  <c r="B35" i="5"/>
  <c r="B28" i="4"/>
  <c r="B24" i="5"/>
  <c r="B36" i="4"/>
  <c r="B32" i="5"/>
  <c r="B23" i="4"/>
  <c r="B19" i="5"/>
  <c r="B48" i="4"/>
  <c r="B44" i="5"/>
  <c r="B38" i="4"/>
  <c r="B34" i="5"/>
  <c r="D1446" i="4"/>
  <c r="D1450" i="4"/>
  <c r="C724" i="4"/>
  <c r="J724" i="4" s="1"/>
  <c r="C725" i="4"/>
  <c r="J725" i="4" s="1"/>
  <c r="E1696" i="4"/>
  <c r="E1704" i="4"/>
  <c r="C1711" i="4"/>
  <c r="J1711" i="4" s="1"/>
  <c r="E1699" i="4"/>
  <c r="D1690" i="4"/>
  <c r="E712" i="4"/>
  <c r="D712" i="4"/>
  <c r="D717" i="4"/>
  <c r="D1443" i="4"/>
  <c r="C1465" i="4"/>
  <c r="J1465" i="4" s="1"/>
  <c r="D1447" i="4"/>
  <c r="C1455" i="4"/>
  <c r="J1455" i="4" s="1"/>
  <c r="C1464" i="4"/>
  <c r="J1464" i="4" s="1"/>
  <c r="C492" i="4"/>
  <c r="J492" i="4" s="1"/>
  <c r="D1197" i="4"/>
  <c r="C1206" i="4"/>
  <c r="J1206" i="4" s="1"/>
  <c r="D1200" i="4"/>
  <c r="C1208" i="4"/>
  <c r="J1208" i="4" s="1"/>
  <c r="C1225" i="4"/>
  <c r="J1225" i="4" s="1"/>
  <c r="C1209" i="4"/>
  <c r="J1209" i="4" s="1"/>
  <c r="L317" i="2"/>
  <c r="E956" i="4"/>
  <c r="D962" i="4"/>
  <c r="D955" i="4"/>
  <c r="E955" i="4"/>
  <c r="C963" i="4"/>
  <c r="J963" i="4" s="1"/>
  <c r="C971" i="4"/>
  <c r="J971" i="4" s="1"/>
  <c r="E952" i="4"/>
  <c r="C976" i="4"/>
  <c r="J976" i="4" s="1"/>
  <c r="D954" i="4"/>
  <c r="D1691" i="4"/>
  <c r="E1694" i="4"/>
  <c r="C1698" i="4"/>
  <c r="J1698" i="4" s="1"/>
  <c r="D1702" i="4"/>
  <c r="C1701" i="4"/>
  <c r="J1701" i="4" s="1"/>
  <c r="E1693" i="4"/>
  <c r="D710" i="4"/>
  <c r="E722" i="4"/>
  <c r="E707" i="4"/>
  <c r="C474" i="4"/>
  <c r="J474" i="4" s="1"/>
  <c r="E1210" i="4"/>
  <c r="E1199" i="4"/>
  <c r="E1212" i="4"/>
  <c r="C1220" i="4"/>
  <c r="J1220" i="4" s="1"/>
  <c r="D1207" i="4"/>
  <c r="L323" i="2"/>
  <c r="C977" i="4"/>
  <c r="J977" i="4" s="1"/>
  <c r="C961" i="4"/>
  <c r="J961" i="4" s="1"/>
  <c r="C958" i="4"/>
  <c r="J958" i="4" s="1"/>
  <c r="D966" i="4"/>
  <c r="C975" i="4"/>
  <c r="J975" i="4" s="1"/>
  <c r="E967" i="4"/>
  <c r="C972" i="4"/>
  <c r="J972" i="4" s="1"/>
  <c r="E950" i="4"/>
  <c r="C978" i="4"/>
  <c r="J978" i="4" s="1"/>
  <c r="B355" i="8"/>
  <c r="C355" i="8"/>
  <c r="E355" i="8"/>
  <c r="F355" i="8" s="1"/>
  <c r="O250" i="5"/>
  <c r="N250" i="5"/>
  <c r="C366" i="7"/>
  <c r="D366" i="7" s="1"/>
  <c r="E366" i="7" s="1"/>
  <c r="C369" i="7"/>
  <c r="D369" i="7" s="1"/>
  <c r="E369" i="7" s="1"/>
  <c r="E359" i="8"/>
  <c r="F359" i="8" s="1"/>
  <c r="B359" i="8"/>
  <c r="C359" i="8"/>
  <c r="C354" i="8"/>
  <c r="E354" i="8"/>
  <c r="F354" i="8" s="1"/>
  <c r="B354" i="8"/>
  <c r="O109" i="5"/>
  <c r="N109" i="5"/>
  <c r="E360" i="8"/>
  <c r="F360" i="8" s="1"/>
  <c r="B360" i="8"/>
  <c r="C360" i="8"/>
  <c r="C378" i="7"/>
  <c r="D378" i="7" s="1"/>
  <c r="E378" i="7" s="1"/>
  <c r="C1717" i="4"/>
  <c r="J1717" i="4" s="1"/>
  <c r="C1678" i="4"/>
  <c r="L1677" i="4" s="1"/>
  <c r="E1112" i="4"/>
  <c r="H1112" i="4" s="1"/>
  <c r="K1112" i="4" s="1"/>
  <c r="N1112" i="4" s="1"/>
  <c r="G1112" i="4"/>
  <c r="J1112" i="4" s="1"/>
  <c r="M1112" i="4" s="1"/>
  <c r="E622" i="4"/>
  <c r="H622" i="4" s="1"/>
  <c r="K622" i="4" s="1"/>
  <c r="N622" i="4" s="1"/>
  <c r="G622" i="4"/>
  <c r="J622" i="4" s="1"/>
  <c r="M622" i="4" s="1"/>
  <c r="C475" i="4"/>
  <c r="J475" i="4" s="1"/>
  <c r="C436" i="4"/>
  <c r="L435" i="4" s="1"/>
  <c r="E1342" i="4"/>
  <c r="H1342" i="4" s="1"/>
  <c r="K1342" i="4" s="1"/>
  <c r="N1342" i="4" s="1"/>
  <c r="G1342" i="4"/>
  <c r="J1342" i="4" s="1"/>
  <c r="M1342" i="4" s="1"/>
  <c r="E220" i="4"/>
  <c r="C220" i="4"/>
  <c r="J219" i="4" s="1"/>
  <c r="D220" i="4"/>
  <c r="F96" i="1"/>
  <c r="B351" i="3"/>
  <c r="B387" i="3"/>
  <c r="U264" i="2"/>
  <c r="K8" i="2" s="1"/>
  <c r="V264" i="2"/>
  <c r="B375" i="8"/>
  <c r="C375" i="8"/>
  <c r="E375" i="8"/>
  <c r="F375" i="8" s="1"/>
  <c r="C363" i="8"/>
  <c r="B363" i="8"/>
  <c r="E363" i="8"/>
  <c r="F363" i="8" s="1"/>
  <c r="B376" i="8"/>
  <c r="C376" i="8"/>
  <c r="E376" i="8"/>
  <c r="F376" i="8" s="1"/>
  <c r="O263" i="5"/>
  <c r="N263" i="5"/>
  <c r="O262" i="5"/>
  <c r="N262" i="5"/>
  <c r="C371" i="7"/>
  <c r="D371" i="7" s="1"/>
  <c r="E371" i="7" s="1"/>
  <c r="C384" i="7"/>
  <c r="D384" i="7" s="1"/>
  <c r="E384" i="7" s="1"/>
  <c r="C377" i="7"/>
  <c r="D377" i="7" s="1"/>
  <c r="E377" i="7" s="1"/>
  <c r="C367" i="8"/>
  <c r="E367" i="8"/>
  <c r="F367" i="8" s="1"/>
  <c r="B367" i="8"/>
  <c r="B350" i="8"/>
  <c r="E350" i="8"/>
  <c r="F350" i="8" s="1"/>
  <c r="C350" i="8"/>
  <c r="O264" i="5"/>
  <c r="N264" i="5"/>
  <c r="O105" i="5"/>
  <c r="N105" i="5"/>
  <c r="E377" i="8"/>
  <c r="F377" i="8" s="1"/>
  <c r="B377" i="8"/>
  <c r="C377" i="8"/>
  <c r="B373" i="8"/>
  <c r="C373" i="8"/>
  <c r="E373" i="8"/>
  <c r="F373" i="8" s="1"/>
  <c r="B357" i="8"/>
  <c r="C357" i="8"/>
  <c r="E357" i="8"/>
  <c r="F357" i="8" s="1"/>
  <c r="B374" i="8"/>
  <c r="E374" i="8"/>
  <c r="F374" i="8" s="1"/>
  <c r="C374" i="8"/>
  <c r="O96" i="5"/>
  <c r="N96" i="5"/>
  <c r="O254" i="5"/>
  <c r="N254" i="5"/>
  <c r="C368" i="8"/>
  <c r="B368" i="8"/>
  <c r="E368" i="8"/>
  <c r="F368" i="8" s="1"/>
  <c r="C387" i="7"/>
  <c r="D387" i="7" s="1"/>
  <c r="E387" i="7" s="1"/>
  <c r="C370" i="7"/>
  <c r="D370" i="7" s="1"/>
  <c r="E370" i="7" s="1"/>
  <c r="C362" i="7"/>
  <c r="D362" i="7" s="1"/>
  <c r="E362" i="7" s="1"/>
  <c r="J189" i="6"/>
  <c r="C227" i="6"/>
  <c r="J227" i="6" s="1"/>
  <c r="O116" i="6" s="1"/>
  <c r="J193" i="6"/>
  <c r="C231" i="6"/>
  <c r="J231" i="6" s="1"/>
  <c r="O120" i="6" s="1"/>
  <c r="J171" i="6"/>
  <c r="C209" i="6"/>
  <c r="J209" i="6" s="1"/>
  <c r="O98" i="6" s="1"/>
  <c r="C211" i="6"/>
  <c r="J211" i="6" s="1"/>
  <c r="O100" i="6" s="1"/>
  <c r="J173" i="6"/>
  <c r="C215" i="6"/>
  <c r="J215" i="6" s="1"/>
  <c r="O104" i="6" s="1"/>
  <c r="J177" i="6"/>
  <c r="C219" i="6"/>
  <c r="J219" i="6" s="1"/>
  <c r="O108" i="6" s="1"/>
  <c r="J181" i="6"/>
  <c r="C223" i="6"/>
  <c r="J223" i="6" s="1"/>
  <c r="O112" i="6" s="1"/>
  <c r="J185" i="6"/>
  <c r="J190" i="6"/>
  <c r="C228" i="6"/>
  <c r="J228" i="6" s="1"/>
  <c r="O117" i="6" s="1"/>
  <c r="J194" i="6"/>
  <c r="C232" i="6"/>
  <c r="J232" i="6" s="1"/>
  <c r="O121" i="6" s="1"/>
  <c r="J174" i="6"/>
  <c r="C212" i="6"/>
  <c r="J212" i="6" s="1"/>
  <c r="O101" i="6" s="1"/>
  <c r="J178" i="6"/>
  <c r="C216" i="6"/>
  <c r="J216" i="6" s="1"/>
  <c r="O105" i="6" s="1"/>
  <c r="J182" i="6"/>
  <c r="C220" i="6"/>
  <c r="J220" i="6" s="1"/>
  <c r="O109" i="6" s="1"/>
  <c r="C224" i="6"/>
  <c r="J224" i="6" s="1"/>
  <c r="O113" i="6" s="1"/>
  <c r="J186" i="6"/>
  <c r="E1604" i="4"/>
  <c r="H1604" i="4" s="1"/>
  <c r="K1604" i="4" s="1"/>
  <c r="N1604" i="4" s="1"/>
  <c r="G1604" i="4"/>
  <c r="J1604" i="4" s="1"/>
  <c r="M1604" i="4" s="1"/>
  <c r="C735" i="4"/>
  <c r="J735" i="4" s="1"/>
  <c r="C696" i="4"/>
  <c r="L695" i="4" s="1"/>
  <c r="G372" i="4"/>
  <c r="J372" i="4" s="1"/>
  <c r="M372" i="4" s="1"/>
  <c r="E372" i="4"/>
  <c r="H372" i="4" s="1"/>
  <c r="K372" i="4" s="1"/>
  <c r="N372" i="4" s="1"/>
  <c r="E1599" i="4"/>
  <c r="H1599" i="4" s="1"/>
  <c r="K1599" i="4" s="1"/>
  <c r="N1599" i="4" s="1"/>
  <c r="G1599" i="4"/>
  <c r="J1599" i="4" s="1"/>
  <c r="M1599" i="4" s="1"/>
  <c r="E617" i="4"/>
  <c r="H617" i="4" s="1"/>
  <c r="K617" i="4" s="1"/>
  <c r="N617" i="4" s="1"/>
  <c r="G617" i="4"/>
  <c r="J617" i="4" s="1"/>
  <c r="M617" i="4" s="1"/>
  <c r="C718" i="4"/>
  <c r="J718" i="4" s="1"/>
  <c r="C679" i="4"/>
  <c r="L678" i="4" s="1"/>
  <c r="E1095" i="4"/>
  <c r="H1095" i="4" s="1"/>
  <c r="K1095" i="4" s="1"/>
  <c r="N1095" i="4" s="1"/>
  <c r="G1095" i="4"/>
  <c r="J1095" i="4" s="1"/>
  <c r="M1095" i="4" s="1"/>
  <c r="G361" i="4"/>
  <c r="J361" i="4" s="1"/>
  <c r="M361" i="4" s="1"/>
  <c r="E361" i="4"/>
  <c r="H361" i="4" s="1"/>
  <c r="K361" i="4" s="1"/>
  <c r="N361" i="4" s="1"/>
  <c r="E111" i="4"/>
  <c r="H111" i="4" s="1"/>
  <c r="K111" i="4" s="1"/>
  <c r="N111" i="4" s="1"/>
  <c r="G111" i="4"/>
  <c r="J111" i="4" s="1"/>
  <c r="M111" i="4" s="1"/>
  <c r="D187" i="4" s="1"/>
  <c r="B215" i="4"/>
  <c r="C215" i="4" s="1"/>
  <c r="J214" i="4" s="1"/>
  <c r="B369" i="3"/>
  <c r="F78" i="1"/>
  <c r="B333" i="3"/>
  <c r="D228" i="4"/>
  <c r="C228" i="4"/>
  <c r="J227" i="4" s="1"/>
  <c r="E228" i="4"/>
  <c r="F91" i="1"/>
  <c r="B346" i="3"/>
  <c r="B382" i="3"/>
  <c r="B218" i="4"/>
  <c r="F81" i="1"/>
  <c r="B336" i="3"/>
  <c r="B372" i="3"/>
  <c r="B359" i="3"/>
  <c r="F104" i="1"/>
  <c r="B395" i="3"/>
  <c r="H322" i="2"/>
  <c r="K322" i="2" s="1"/>
  <c r="L322" i="2"/>
  <c r="H318" i="2"/>
  <c r="N318" i="2" s="1"/>
  <c r="L318" i="2"/>
  <c r="K313" i="2"/>
  <c r="N313" i="2"/>
  <c r="D240" i="4"/>
  <c r="C240" i="4"/>
  <c r="J239" i="4" s="1"/>
  <c r="E240" i="4"/>
  <c r="K321" i="2"/>
  <c r="N321" i="2"/>
  <c r="D174" i="4"/>
  <c r="C490" i="4"/>
  <c r="J490" i="4" s="1"/>
  <c r="E490" i="4"/>
  <c r="D490" i="4"/>
  <c r="F103" i="1"/>
  <c r="B358" i="3"/>
  <c r="B394" i="3"/>
  <c r="J169" i="6"/>
  <c r="C207" i="6"/>
  <c r="J207" i="6" s="1"/>
  <c r="O96" i="6" s="1"/>
  <c r="C208" i="6"/>
  <c r="J208" i="6" s="1"/>
  <c r="O97" i="6" s="1"/>
  <c r="J170" i="6"/>
  <c r="C213" i="6"/>
  <c r="J213" i="6" s="1"/>
  <c r="O102" i="6" s="1"/>
  <c r="J175" i="6"/>
  <c r="C217" i="6"/>
  <c r="J217" i="6" s="1"/>
  <c r="O106" i="6" s="1"/>
  <c r="J179" i="6"/>
  <c r="C221" i="6"/>
  <c r="J221" i="6" s="1"/>
  <c r="O110" i="6" s="1"/>
  <c r="J183" i="6"/>
  <c r="C225" i="6"/>
  <c r="J225" i="6" s="1"/>
  <c r="O114" i="6" s="1"/>
  <c r="J187" i="6"/>
  <c r="J192" i="6"/>
  <c r="C230" i="6"/>
  <c r="J230" i="6" s="1"/>
  <c r="O119" i="6" s="1"/>
  <c r="J172" i="6"/>
  <c r="C210" i="6"/>
  <c r="J210" i="6" s="1"/>
  <c r="O99" i="6" s="1"/>
  <c r="J176" i="6"/>
  <c r="C214" i="6"/>
  <c r="J214" i="6" s="1"/>
  <c r="O103" i="6" s="1"/>
  <c r="J180" i="6"/>
  <c r="C218" i="6"/>
  <c r="J218" i="6" s="1"/>
  <c r="O107" i="6" s="1"/>
  <c r="C222" i="6"/>
  <c r="J222" i="6" s="1"/>
  <c r="O111" i="6" s="1"/>
  <c r="J184" i="6"/>
  <c r="C226" i="6"/>
  <c r="J226" i="6" s="1"/>
  <c r="O115" i="6" s="1"/>
  <c r="J188" i="6"/>
  <c r="C233" i="6"/>
  <c r="J233" i="6" s="1"/>
  <c r="O122" i="6" s="1"/>
  <c r="J195" i="6"/>
  <c r="D463" i="4"/>
  <c r="D424" i="4"/>
  <c r="D216" i="4"/>
  <c r="D178" i="4"/>
  <c r="D709" i="4"/>
  <c r="D670" i="4"/>
  <c r="D465" i="4"/>
  <c r="D426" i="4"/>
  <c r="G125" i="4"/>
  <c r="J125" i="4" s="1"/>
  <c r="M125" i="4" s="1"/>
  <c r="D201" i="4" s="1"/>
  <c r="E125" i="4"/>
  <c r="H125" i="4" s="1"/>
  <c r="K125" i="4" s="1"/>
  <c r="N125" i="4" s="1"/>
  <c r="E201" i="4" s="1"/>
  <c r="G1110" i="4"/>
  <c r="J1110" i="4" s="1"/>
  <c r="M1110" i="4" s="1"/>
  <c r="E1110" i="4"/>
  <c r="H1110" i="4" s="1"/>
  <c r="K1110" i="4" s="1"/>
  <c r="N1110" i="4" s="1"/>
  <c r="C485" i="4"/>
  <c r="J485" i="4" s="1"/>
  <c r="C446" i="4"/>
  <c r="L445" i="4" s="1"/>
  <c r="G1352" i="4"/>
  <c r="J1352" i="4" s="1"/>
  <c r="M1352" i="4" s="1"/>
  <c r="E1352" i="4"/>
  <c r="H1352" i="4" s="1"/>
  <c r="K1352" i="4" s="1"/>
  <c r="N1352" i="4" s="1"/>
  <c r="E1598" i="4"/>
  <c r="H1598" i="4" s="1"/>
  <c r="K1598" i="4" s="1"/>
  <c r="N1598" i="4" s="1"/>
  <c r="G1598" i="4"/>
  <c r="J1598" i="4" s="1"/>
  <c r="M1598" i="4" s="1"/>
  <c r="G1103" i="4"/>
  <c r="J1103" i="4" s="1"/>
  <c r="M1103" i="4" s="1"/>
  <c r="E1103" i="4"/>
  <c r="H1103" i="4" s="1"/>
  <c r="K1103" i="4" s="1"/>
  <c r="N1103" i="4" s="1"/>
  <c r="E366" i="4"/>
  <c r="H366" i="4" s="1"/>
  <c r="K366" i="4" s="1"/>
  <c r="N366" i="4" s="1"/>
  <c r="G366" i="4"/>
  <c r="J366" i="4" s="1"/>
  <c r="M366" i="4" s="1"/>
  <c r="G863" i="4"/>
  <c r="J863" i="4" s="1"/>
  <c r="M863" i="4" s="1"/>
  <c r="E863" i="4"/>
  <c r="H863" i="4" s="1"/>
  <c r="K863" i="4" s="1"/>
  <c r="N863" i="4" s="1"/>
  <c r="E618" i="4"/>
  <c r="H618" i="4" s="1"/>
  <c r="K618" i="4" s="1"/>
  <c r="N618" i="4" s="1"/>
  <c r="G618" i="4"/>
  <c r="J618" i="4" s="1"/>
  <c r="M618" i="4" s="1"/>
  <c r="E1351" i="4"/>
  <c r="H1351" i="4" s="1"/>
  <c r="K1351" i="4" s="1"/>
  <c r="N1351" i="4" s="1"/>
  <c r="G1351" i="4"/>
  <c r="J1351" i="4" s="1"/>
  <c r="M1351" i="4" s="1"/>
  <c r="G860" i="4"/>
  <c r="J860" i="4" s="1"/>
  <c r="M860" i="4" s="1"/>
  <c r="E860" i="4"/>
  <c r="H860" i="4" s="1"/>
  <c r="K860" i="4" s="1"/>
  <c r="N860" i="4" s="1"/>
  <c r="G612" i="4"/>
  <c r="J612" i="4" s="1"/>
  <c r="M612" i="4" s="1"/>
  <c r="E612" i="4"/>
  <c r="H612" i="4" s="1"/>
  <c r="K612" i="4" s="1"/>
  <c r="N612" i="4" s="1"/>
  <c r="G1113" i="4"/>
  <c r="J1113" i="4" s="1"/>
  <c r="M1113" i="4" s="1"/>
  <c r="E1113" i="4"/>
  <c r="H1113" i="4" s="1"/>
  <c r="K1113" i="4" s="1"/>
  <c r="N1113" i="4" s="1"/>
  <c r="G868" i="4"/>
  <c r="J868" i="4" s="1"/>
  <c r="M868" i="4" s="1"/>
  <c r="D942" i="4" s="1"/>
  <c r="E868" i="4"/>
  <c r="H868" i="4" s="1"/>
  <c r="K868" i="4" s="1"/>
  <c r="N868" i="4" s="1"/>
  <c r="E942" i="4" s="1"/>
  <c r="G864" i="4"/>
  <c r="J864" i="4" s="1"/>
  <c r="M864" i="4" s="1"/>
  <c r="E864" i="4"/>
  <c r="H864" i="4" s="1"/>
  <c r="K864" i="4" s="1"/>
  <c r="N864" i="4" s="1"/>
  <c r="E124" i="4"/>
  <c r="H124" i="4" s="1"/>
  <c r="K124" i="4" s="1"/>
  <c r="N124" i="4" s="1"/>
  <c r="G124" i="4"/>
  <c r="J124" i="4" s="1"/>
  <c r="M124" i="4" s="1"/>
  <c r="D200" i="4" s="1"/>
  <c r="G369" i="4"/>
  <c r="J369" i="4" s="1"/>
  <c r="M369" i="4" s="1"/>
  <c r="E369" i="4"/>
  <c r="H369" i="4" s="1"/>
  <c r="K369" i="4" s="1"/>
  <c r="N369" i="4" s="1"/>
  <c r="E859" i="4"/>
  <c r="H859" i="4" s="1"/>
  <c r="K859" i="4" s="1"/>
  <c r="N859" i="4" s="1"/>
  <c r="G859" i="4"/>
  <c r="J859" i="4" s="1"/>
  <c r="M859" i="4" s="1"/>
  <c r="G1104" i="4"/>
  <c r="J1104" i="4" s="1"/>
  <c r="M1104" i="4" s="1"/>
  <c r="E1104" i="4"/>
  <c r="H1104" i="4" s="1"/>
  <c r="K1104" i="4" s="1"/>
  <c r="N1104" i="4" s="1"/>
  <c r="E1585" i="4"/>
  <c r="H1585" i="4" s="1"/>
  <c r="K1585" i="4" s="1"/>
  <c r="N1585" i="4" s="1"/>
  <c r="G1585" i="4"/>
  <c r="J1585" i="4" s="1"/>
  <c r="M1585" i="4" s="1"/>
  <c r="C430" i="4"/>
  <c r="L429" i="4" s="1"/>
  <c r="E105" i="4"/>
  <c r="H105" i="4" s="1"/>
  <c r="K105" i="4" s="1"/>
  <c r="N105" i="4" s="1"/>
  <c r="G105" i="4"/>
  <c r="J105" i="4" s="1"/>
  <c r="M105" i="4" s="1"/>
  <c r="E1336" i="4"/>
  <c r="H1336" i="4" s="1"/>
  <c r="K1336" i="4" s="1"/>
  <c r="N1336" i="4" s="1"/>
  <c r="G1336" i="4"/>
  <c r="J1336" i="4" s="1"/>
  <c r="M1336" i="4" s="1"/>
  <c r="G600" i="4"/>
  <c r="J600" i="4" s="1"/>
  <c r="M600" i="4" s="1"/>
  <c r="E600" i="4"/>
  <c r="H600" i="4" s="1"/>
  <c r="K600" i="4" s="1"/>
  <c r="N600" i="4" s="1"/>
  <c r="H300" i="2"/>
  <c r="L300" i="2"/>
  <c r="H308" i="2"/>
  <c r="L308" i="2"/>
  <c r="H306" i="2"/>
  <c r="L306" i="2"/>
  <c r="H314" i="2"/>
  <c r="K314" i="2" s="1"/>
  <c r="L314" i="2"/>
  <c r="N326" i="2"/>
  <c r="K326" i="2"/>
  <c r="C391" i="7"/>
  <c r="D391" i="7" s="1"/>
  <c r="E391" i="7" s="1"/>
  <c r="C372" i="7"/>
  <c r="D372" i="7" s="1"/>
  <c r="E372" i="7" s="1"/>
  <c r="C380" i="7"/>
  <c r="D380" i="7" s="1"/>
  <c r="E380" i="7" s="1"/>
  <c r="C353" i="8"/>
  <c r="E353" i="8"/>
  <c r="F353" i="8" s="1"/>
  <c r="B353" i="8"/>
  <c r="B366" i="8"/>
  <c r="C366" i="8"/>
  <c r="E366" i="8"/>
  <c r="F366" i="8" s="1"/>
  <c r="C356" i="8"/>
  <c r="E356" i="8"/>
  <c r="F356" i="8" s="1"/>
  <c r="B356" i="8"/>
  <c r="B379" i="8"/>
  <c r="E379" i="8"/>
  <c r="F379" i="8" s="1"/>
  <c r="C379" i="8"/>
  <c r="C385" i="7"/>
  <c r="D385" i="7" s="1"/>
  <c r="E385" i="7" s="1"/>
  <c r="B378" i="8"/>
  <c r="C378" i="8"/>
  <c r="E378" i="8"/>
  <c r="F378" i="8" s="1"/>
  <c r="C382" i="7"/>
  <c r="D382" i="7" s="1"/>
  <c r="E382" i="7" s="1"/>
  <c r="C24" i="4"/>
  <c r="B517" i="4"/>
  <c r="C517" i="4" s="1"/>
  <c r="B1253" i="4"/>
  <c r="C1253" i="4" s="1"/>
  <c r="B762" i="4"/>
  <c r="C762" i="4" s="1"/>
  <c r="B1499" i="4"/>
  <c r="C1499" i="4" s="1"/>
  <c r="B270" i="4"/>
  <c r="C270" i="4" s="1"/>
  <c r="B527" i="4"/>
  <c r="C527" i="4" s="1"/>
  <c r="B772" i="4"/>
  <c r="C772" i="4" s="1"/>
  <c r="B1509" i="4"/>
  <c r="C1509" i="4" s="1"/>
  <c r="B280" i="4"/>
  <c r="C280" i="4" s="1"/>
  <c r="B1263" i="4"/>
  <c r="C1263" i="4" s="1"/>
  <c r="C34" i="4"/>
  <c r="C32" i="4"/>
  <c r="B1507" i="4"/>
  <c r="C1507" i="4" s="1"/>
  <c r="B278" i="4"/>
  <c r="C278" i="4" s="1"/>
  <c r="B770" i="4"/>
  <c r="C770" i="4" s="1"/>
  <c r="B1261" i="4"/>
  <c r="C1261" i="4" s="1"/>
  <c r="B525" i="4"/>
  <c r="C525" i="4" s="1"/>
  <c r="B279" i="4"/>
  <c r="C279" i="4" s="1"/>
  <c r="C33" i="4"/>
  <c r="B1262" i="4"/>
  <c r="C1262" i="4" s="1"/>
  <c r="B526" i="4"/>
  <c r="C526" i="4" s="1"/>
  <c r="B1508" i="4"/>
  <c r="C1508" i="4" s="1"/>
  <c r="B771" i="4"/>
  <c r="C771" i="4" s="1"/>
  <c r="B547" i="4"/>
  <c r="C547" i="4" s="1"/>
  <c r="B792" i="4"/>
  <c r="C792" i="4" s="1"/>
  <c r="B300" i="4"/>
  <c r="C300" i="4" s="1"/>
  <c r="C54" i="4"/>
  <c r="B1283" i="4"/>
  <c r="C1283" i="4" s="1"/>
  <c r="B1529" i="4"/>
  <c r="C1529" i="4" s="1"/>
  <c r="B288" i="4"/>
  <c r="C288" i="4" s="1"/>
  <c r="B780" i="4"/>
  <c r="C780" i="4" s="1"/>
  <c r="B1271" i="4"/>
  <c r="C1271" i="4" s="1"/>
  <c r="B1517" i="4"/>
  <c r="C1517" i="4" s="1"/>
  <c r="C42" i="4"/>
  <c r="B535" i="4"/>
  <c r="C535" i="4" s="1"/>
  <c r="B271" i="4"/>
  <c r="C271" i="4" s="1"/>
  <c r="B1500" i="4"/>
  <c r="C1500" i="4" s="1"/>
  <c r="B763" i="4"/>
  <c r="C763" i="4" s="1"/>
  <c r="C25" i="4"/>
  <c r="B518" i="4"/>
  <c r="C518" i="4" s="1"/>
  <c r="B1254" i="4"/>
  <c r="C1254" i="4" s="1"/>
  <c r="C268" i="4"/>
  <c r="B1497" i="4"/>
  <c r="C1497" i="4" s="1"/>
  <c r="B1251" i="4"/>
  <c r="C1251" i="4" s="1"/>
  <c r="B515" i="4"/>
  <c r="C515" i="4" s="1"/>
  <c r="C22" i="4"/>
  <c r="B760" i="4"/>
  <c r="C760" i="4" s="1"/>
  <c r="B773" i="4"/>
  <c r="C773" i="4" s="1"/>
  <c r="B1264" i="4"/>
  <c r="C1264" i="4" s="1"/>
  <c r="B528" i="4"/>
  <c r="C528" i="4" s="1"/>
  <c r="B281" i="4"/>
  <c r="C281" i="4" s="1"/>
  <c r="B1510" i="4"/>
  <c r="C1510" i="4" s="1"/>
  <c r="C35" i="4"/>
  <c r="F74" i="1"/>
  <c r="B329" i="3"/>
  <c r="B365" i="3"/>
  <c r="F100" i="1"/>
  <c r="B355" i="3"/>
  <c r="B391" i="3"/>
  <c r="C471" i="4"/>
  <c r="J471" i="4" s="1"/>
  <c r="E471" i="4"/>
  <c r="D471" i="4"/>
  <c r="F84" i="1"/>
  <c r="B339" i="3"/>
  <c r="B375" i="3"/>
  <c r="C479" i="4"/>
  <c r="J479" i="4" s="1"/>
  <c r="E479" i="4"/>
  <c r="D479" i="4"/>
  <c r="F92" i="1"/>
  <c r="B347" i="3"/>
  <c r="B383" i="3"/>
  <c r="F101" i="1"/>
  <c r="B356" i="3"/>
  <c r="B392" i="3"/>
  <c r="G377" i="4"/>
  <c r="J377" i="4" s="1"/>
  <c r="M377" i="4" s="1"/>
  <c r="E377" i="4"/>
  <c r="H377" i="4" s="1"/>
  <c r="K377" i="4" s="1"/>
  <c r="N377" i="4" s="1"/>
  <c r="E867" i="4"/>
  <c r="H867" i="4" s="1"/>
  <c r="K867" i="4" s="1"/>
  <c r="N867" i="4" s="1"/>
  <c r="G867" i="4"/>
  <c r="J867" i="4" s="1"/>
  <c r="M867" i="4" s="1"/>
  <c r="G122" i="4"/>
  <c r="J122" i="4" s="1"/>
  <c r="M122" i="4" s="1"/>
  <c r="D198" i="4" s="1"/>
  <c r="E122" i="4"/>
  <c r="H122" i="4" s="1"/>
  <c r="K122" i="4" s="1"/>
  <c r="N122" i="4" s="1"/>
  <c r="G1341" i="4"/>
  <c r="J1341" i="4" s="1"/>
  <c r="M1341" i="4" s="1"/>
  <c r="E1341" i="4"/>
  <c r="H1341" i="4" s="1"/>
  <c r="K1341" i="4" s="1"/>
  <c r="N1341" i="4" s="1"/>
  <c r="E1096" i="4"/>
  <c r="H1096" i="4" s="1"/>
  <c r="K1096" i="4" s="1"/>
  <c r="N1096" i="4" s="1"/>
  <c r="G1096" i="4"/>
  <c r="J1096" i="4" s="1"/>
  <c r="M1096" i="4" s="1"/>
  <c r="D466" i="4"/>
  <c r="D427" i="4"/>
  <c r="D177" i="4"/>
  <c r="D478" i="4"/>
  <c r="D439" i="4"/>
  <c r="E470" i="4"/>
  <c r="E431" i="4"/>
  <c r="B788" i="4"/>
  <c r="C788" i="4" s="1"/>
  <c r="C50" i="4"/>
  <c r="B1279" i="4"/>
  <c r="C1279" i="4" s="1"/>
  <c r="B1525" i="4"/>
  <c r="C1525" i="4" s="1"/>
  <c r="B296" i="4"/>
  <c r="C296" i="4" s="1"/>
  <c r="B543" i="4"/>
  <c r="C543" i="4" s="1"/>
  <c r="H302" i="2"/>
  <c r="L302" i="2"/>
  <c r="H310" i="2"/>
  <c r="K310" i="2" s="1"/>
  <c r="L310" i="2"/>
  <c r="H296" i="2"/>
  <c r="L296" i="2"/>
  <c r="H324" i="2"/>
  <c r="K324" i="2" s="1"/>
  <c r="L324" i="2"/>
  <c r="E227" i="4"/>
  <c r="E189" i="4"/>
  <c r="E464" i="4"/>
  <c r="E425" i="4"/>
  <c r="E173" i="4"/>
  <c r="E422" i="4"/>
  <c r="E468" i="4"/>
  <c r="E429" i="4"/>
  <c r="M4" i="2"/>
  <c r="T260" i="2"/>
  <c r="W260" i="2" s="1"/>
  <c r="B30" i="4"/>
  <c r="B26" i="5"/>
  <c r="B41" i="4"/>
  <c r="B37" i="5"/>
  <c r="B461" i="4"/>
  <c r="C461" i="4" s="1"/>
  <c r="J461" i="4" s="1"/>
  <c r="F98" i="1"/>
  <c r="B353" i="3"/>
  <c r="B389" i="3"/>
  <c r="B469" i="4"/>
  <c r="C469" i="4" s="1"/>
  <c r="J469" i="4" s="1"/>
  <c r="F82" i="1"/>
  <c r="B337" i="3"/>
  <c r="B373" i="3"/>
  <c r="F90" i="1"/>
  <c r="B345" i="3"/>
  <c r="B381" i="3"/>
  <c r="F99" i="1"/>
  <c r="B354" i="3"/>
  <c r="B390" i="3"/>
  <c r="E217" i="4"/>
  <c r="E179" i="4"/>
  <c r="C373" i="7"/>
  <c r="D373" i="7" s="1"/>
  <c r="E373" i="7" s="1"/>
  <c r="O95" i="5"/>
  <c r="N95" i="5"/>
  <c r="E216" i="4"/>
  <c r="C216" i="4"/>
  <c r="J215" i="4" s="1"/>
  <c r="F79" i="1"/>
  <c r="B334" i="3"/>
  <c r="B370" i="3"/>
  <c r="C232" i="4"/>
  <c r="J231" i="4" s="1"/>
  <c r="F95" i="1"/>
  <c r="B350" i="3"/>
  <c r="B386" i="3"/>
  <c r="C222" i="4"/>
  <c r="J221" i="4" s="1"/>
  <c r="F85" i="1"/>
  <c r="B340" i="3"/>
  <c r="B376" i="3"/>
  <c r="C242" i="4"/>
  <c r="J241" i="4" s="1"/>
  <c r="C236" i="4"/>
  <c r="J235" i="4" s="1"/>
  <c r="H320" i="2"/>
  <c r="K320" i="2" s="1"/>
  <c r="L320" i="2"/>
  <c r="K315" i="2"/>
  <c r="N315" i="2"/>
  <c r="C223" i="4"/>
  <c r="J222" i="4" s="1"/>
  <c r="D223" i="4"/>
  <c r="H298" i="2"/>
  <c r="L298" i="2"/>
  <c r="C239" i="4"/>
  <c r="J238" i="4" s="1"/>
  <c r="C235" i="4"/>
  <c r="J234" i="4" s="1"/>
  <c r="C364" i="3"/>
  <c r="D364" i="3" s="1"/>
  <c r="E364" i="3" s="1"/>
  <c r="F364" i="3" s="1"/>
  <c r="C981" i="4"/>
  <c r="J981" i="4" s="1"/>
  <c r="E711" i="4"/>
  <c r="E672" i="4"/>
  <c r="E473" i="4"/>
  <c r="E434" i="4"/>
  <c r="G375" i="4"/>
  <c r="J375" i="4" s="1"/>
  <c r="M375" i="4" s="1"/>
  <c r="E375" i="4"/>
  <c r="H375" i="4" s="1"/>
  <c r="K375" i="4" s="1"/>
  <c r="N375" i="4" s="1"/>
  <c r="E865" i="4"/>
  <c r="H865" i="4" s="1"/>
  <c r="K865" i="4" s="1"/>
  <c r="N865" i="4" s="1"/>
  <c r="G865" i="4"/>
  <c r="J865" i="4" s="1"/>
  <c r="M865" i="4" s="1"/>
  <c r="G620" i="4"/>
  <c r="J620" i="4" s="1"/>
  <c r="M620" i="4" s="1"/>
  <c r="E620" i="4"/>
  <c r="H620" i="4" s="1"/>
  <c r="K620" i="4" s="1"/>
  <c r="N620" i="4" s="1"/>
  <c r="E861" i="4"/>
  <c r="H861" i="4" s="1"/>
  <c r="K861" i="4" s="1"/>
  <c r="N861" i="4" s="1"/>
  <c r="G861" i="4"/>
  <c r="J861" i="4" s="1"/>
  <c r="M861" i="4" s="1"/>
  <c r="G1106" i="4"/>
  <c r="J1106" i="4" s="1"/>
  <c r="M1106" i="4" s="1"/>
  <c r="E1106" i="4"/>
  <c r="H1106" i="4" s="1"/>
  <c r="K1106" i="4" s="1"/>
  <c r="N1106" i="4" s="1"/>
  <c r="G616" i="4"/>
  <c r="J616" i="4" s="1"/>
  <c r="M616" i="4" s="1"/>
  <c r="E616" i="4"/>
  <c r="H616" i="4" s="1"/>
  <c r="K616" i="4" s="1"/>
  <c r="N616" i="4" s="1"/>
  <c r="G368" i="4"/>
  <c r="J368" i="4" s="1"/>
  <c r="M368" i="4" s="1"/>
  <c r="E368" i="4"/>
  <c r="H368" i="4" s="1"/>
  <c r="K368" i="4" s="1"/>
  <c r="N368" i="4" s="1"/>
  <c r="E118" i="4"/>
  <c r="H118" i="4" s="1"/>
  <c r="K118" i="4" s="1"/>
  <c r="N118" i="4" s="1"/>
  <c r="G118" i="4"/>
  <c r="J118" i="4" s="1"/>
  <c r="M118" i="4" s="1"/>
  <c r="D194" i="4" s="1"/>
  <c r="G116" i="4"/>
  <c r="J116" i="4" s="1"/>
  <c r="M116" i="4" s="1"/>
  <c r="D192" i="4" s="1"/>
  <c r="E116" i="4"/>
  <c r="H116" i="4" s="1"/>
  <c r="K116" i="4" s="1"/>
  <c r="N116" i="4" s="1"/>
  <c r="E1101" i="4"/>
  <c r="H1101" i="4" s="1"/>
  <c r="K1101" i="4" s="1"/>
  <c r="N1101" i="4" s="1"/>
  <c r="G1101" i="4"/>
  <c r="J1101" i="4" s="1"/>
  <c r="M1101" i="4" s="1"/>
  <c r="G1347" i="4"/>
  <c r="J1347" i="4" s="1"/>
  <c r="M1347" i="4" s="1"/>
  <c r="E1347" i="4"/>
  <c r="H1347" i="4" s="1"/>
  <c r="K1347" i="4" s="1"/>
  <c r="N1347" i="4" s="1"/>
  <c r="E373" i="4"/>
  <c r="H373" i="4" s="1"/>
  <c r="K373" i="4" s="1"/>
  <c r="N373" i="4" s="1"/>
  <c r="G373" i="4"/>
  <c r="J373" i="4" s="1"/>
  <c r="M373" i="4" s="1"/>
  <c r="G1108" i="4"/>
  <c r="J1108" i="4" s="1"/>
  <c r="M1108" i="4" s="1"/>
  <c r="E1108" i="4"/>
  <c r="H1108" i="4" s="1"/>
  <c r="K1108" i="4" s="1"/>
  <c r="N1108" i="4" s="1"/>
  <c r="E1597" i="4"/>
  <c r="H1597" i="4" s="1"/>
  <c r="K1597" i="4" s="1"/>
  <c r="N1597" i="4" s="1"/>
  <c r="G1597" i="4"/>
  <c r="J1597" i="4" s="1"/>
  <c r="M1597" i="4" s="1"/>
  <c r="E1105" i="4"/>
  <c r="H1105" i="4" s="1"/>
  <c r="K1105" i="4" s="1"/>
  <c r="N1105" i="4" s="1"/>
  <c r="G1105" i="4"/>
  <c r="J1105" i="4" s="1"/>
  <c r="M1105" i="4" s="1"/>
  <c r="E367" i="4"/>
  <c r="H367" i="4" s="1"/>
  <c r="K367" i="4" s="1"/>
  <c r="N367" i="4" s="1"/>
  <c r="G367" i="4"/>
  <c r="J367" i="4" s="1"/>
  <c r="M367" i="4" s="1"/>
  <c r="E857" i="4"/>
  <c r="H857" i="4" s="1"/>
  <c r="K857" i="4" s="1"/>
  <c r="N857" i="4" s="1"/>
  <c r="G857" i="4"/>
  <c r="J857" i="4" s="1"/>
  <c r="M857" i="4" s="1"/>
  <c r="G623" i="4"/>
  <c r="J623" i="4" s="1"/>
  <c r="M623" i="4" s="1"/>
  <c r="E623" i="4"/>
  <c r="H623" i="4" s="1"/>
  <c r="K623" i="4" s="1"/>
  <c r="N623" i="4" s="1"/>
  <c r="E1605" i="4"/>
  <c r="H1605" i="4" s="1"/>
  <c r="K1605" i="4" s="1"/>
  <c r="N1605" i="4" s="1"/>
  <c r="G1605" i="4"/>
  <c r="J1605" i="4" s="1"/>
  <c r="M1605" i="4" s="1"/>
  <c r="C488" i="4"/>
  <c r="J488" i="4" s="1"/>
  <c r="C449" i="4"/>
  <c r="L448" i="4" s="1"/>
  <c r="G1601" i="4"/>
  <c r="J1601" i="4" s="1"/>
  <c r="M1601" i="4" s="1"/>
  <c r="E1601" i="4"/>
  <c r="H1601" i="4" s="1"/>
  <c r="K1601" i="4" s="1"/>
  <c r="N1601" i="4" s="1"/>
  <c r="E1109" i="4"/>
  <c r="H1109" i="4" s="1"/>
  <c r="K1109" i="4" s="1"/>
  <c r="N1109" i="4" s="1"/>
  <c r="G1109" i="4"/>
  <c r="J1109" i="4" s="1"/>
  <c r="M1109" i="4" s="1"/>
  <c r="E119" i="4"/>
  <c r="H119" i="4" s="1"/>
  <c r="K119" i="4" s="1"/>
  <c r="N119" i="4" s="1"/>
  <c r="E195" i="4" s="1"/>
  <c r="G119" i="4"/>
  <c r="J119" i="4" s="1"/>
  <c r="M119" i="4" s="1"/>
  <c r="D195" i="4" s="1"/>
  <c r="G1596" i="4"/>
  <c r="J1596" i="4" s="1"/>
  <c r="M1596" i="4" s="1"/>
  <c r="E1596" i="4"/>
  <c r="H1596" i="4" s="1"/>
  <c r="K1596" i="4" s="1"/>
  <c r="N1596" i="4" s="1"/>
  <c r="G614" i="4"/>
  <c r="J614" i="4" s="1"/>
  <c r="M614" i="4" s="1"/>
  <c r="E614" i="4"/>
  <c r="H614" i="4" s="1"/>
  <c r="K614" i="4" s="1"/>
  <c r="N614" i="4" s="1"/>
  <c r="G358" i="4"/>
  <c r="J358" i="4" s="1"/>
  <c r="M358" i="4" s="1"/>
  <c r="E358" i="4"/>
  <c r="H358" i="4" s="1"/>
  <c r="K358" i="4" s="1"/>
  <c r="N358" i="4" s="1"/>
  <c r="E108" i="4"/>
  <c r="H108" i="4" s="1"/>
  <c r="K108" i="4" s="1"/>
  <c r="N108" i="4" s="1"/>
  <c r="E184" i="4" s="1"/>
  <c r="G108" i="4"/>
  <c r="J108" i="4" s="1"/>
  <c r="M108" i="4" s="1"/>
  <c r="D184" i="4" s="1"/>
  <c r="G603" i="4"/>
  <c r="J603" i="4" s="1"/>
  <c r="M603" i="4" s="1"/>
  <c r="E603" i="4"/>
  <c r="H603" i="4" s="1"/>
  <c r="K603" i="4" s="1"/>
  <c r="N603" i="4" s="1"/>
  <c r="E1090" i="4"/>
  <c r="H1090" i="4" s="1"/>
  <c r="K1090" i="4" s="1"/>
  <c r="N1090" i="4" s="1"/>
  <c r="G1090" i="4"/>
  <c r="J1090" i="4" s="1"/>
  <c r="M1090" i="4" s="1"/>
  <c r="K319" i="2"/>
  <c r="N319" i="2"/>
  <c r="D477" i="4"/>
  <c r="D438" i="4"/>
  <c r="D214" i="4"/>
  <c r="D176" i="4"/>
  <c r="D462" i="4"/>
  <c r="D423" i="4"/>
  <c r="E476" i="4"/>
  <c r="E437" i="4"/>
  <c r="M345" i="7"/>
  <c r="L22" i="7" s="1"/>
  <c r="M342" i="7"/>
  <c r="L19" i="7" s="1"/>
  <c r="G80" i="5"/>
  <c r="L117" i="5" s="1"/>
  <c r="G77" i="5"/>
  <c r="L114" i="5" s="1"/>
  <c r="G75" i="5"/>
  <c r="L112" i="5" s="1"/>
  <c r="G87" i="5"/>
  <c r="L124" i="5" s="1"/>
  <c r="G78" i="5"/>
  <c r="L115" i="5" s="1"/>
  <c r="L313" i="2"/>
  <c r="L309" i="2"/>
  <c r="L305" i="2"/>
  <c r="L301" i="2"/>
  <c r="E301" i="2"/>
  <c r="P301" i="2" s="1"/>
  <c r="D1444" i="4"/>
  <c r="E1453" i="4"/>
  <c r="D1457" i="4"/>
  <c r="E1446" i="4"/>
  <c r="E1450" i="4"/>
  <c r="G81" i="5"/>
  <c r="L118" i="5" s="1"/>
  <c r="G224" i="5"/>
  <c r="L261" i="5" s="1"/>
  <c r="M334" i="7"/>
  <c r="L11" i="7" s="1"/>
  <c r="M330" i="7"/>
  <c r="L7" i="7" s="1"/>
  <c r="C1226" i="4"/>
  <c r="J1226" i="4" s="1"/>
  <c r="E308" i="2"/>
  <c r="P308" i="2" s="1"/>
  <c r="L297" i="2"/>
  <c r="E306" i="2"/>
  <c r="P306" i="2" s="1"/>
  <c r="L295" i="2"/>
  <c r="C731" i="4"/>
  <c r="J731" i="4" s="1"/>
  <c r="C713" i="4"/>
  <c r="J713" i="4" s="1"/>
  <c r="M351" i="7"/>
  <c r="L28" i="7" s="1"/>
  <c r="M327" i="7"/>
  <c r="L4" i="7" s="1"/>
  <c r="E1692" i="4"/>
  <c r="D1692" i="4"/>
  <c r="D1696" i="4"/>
  <c r="D1704" i="4"/>
  <c r="C1708" i="4"/>
  <c r="J1708" i="4" s="1"/>
  <c r="C1712" i="4"/>
  <c r="J1712" i="4" s="1"/>
  <c r="D1699" i="4"/>
  <c r="E1690" i="4"/>
  <c r="C730" i="4"/>
  <c r="J730" i="4" s="1"/>
  <c r="D721" i="4"/>
  <c r="E721" i="4"/>
  <c r="E717" i="4"/>
  <c r="E708" i="4"/>
  <c r="D708" i="4"/>
  <c r="E1443" i="4"/>
  <c r="D1442" i="4"/>
  <c r="E1442" i="4"/>
  <c r="E1447" i="4"/>
  <c r="C483" i="4"/>
  <c r="J483" i="4" s="1"/>
  <c r="G231" i="5"/>
  <c r="L268" i="5" s="1"/>
  <c r="G229" i="5"/>
  <c r="L266" i="5" s="1"/>
  <c r="G236" i="5"/>
  <c r="L273" i="5" s="1"/>
  <c r="G233" i="5"/>
  <c r="L270" i="5" s="1"/>
  <c r="G241" i="5"/>
  <c r="L278" i="5" s="1"/>
  <c r="G232" i="5"/>
  <c r="L269" i="5" s="1"/>
  <c r="G218" i="5"/>
  <c r="L255" i="5" s="1"/>
  <c r="E1200" i="4"/>
  <c r="C1216" i="4"/>
  <c r="J1216" i="4" s="1"/>
  <c r="D1201" i="4"/>
  <c r="L299" i="2"/>
  <c r="E310" i="2"/>
  <c r="P310" i="2" s="1"/>
  <c r="L325" i="2"/>
  <c r="E296" i="2"/>
  <c r="P296" i="2" s="1"/>
  <c r="D956" i="4"/>
  <c r="C964" i="4"/>
  <c r="J964" i="4" s="1"/>
  <c r="C973" i="4"/>
  <c r="J973" i="4" s="1"/>
  <c r="E957" i="4"/>
  <c r="E962" i="4"/>
  <c r="D952" i="4"/>
  <c r="E954" i="4"/>
  <c r="D348" i="8"/>
  <c r="G348" i="8" s="1"/>
  <c r="H348" i="8" s="1"/>
  <c r="I348" i="8" s="1"/>
  <c r="J348" i="8" s="1"/>
  <c r="E1691" i="4"/>
  <c r="D1694" i="4"/>
  <c r="E1702" i="4"/>
  <c r="C1706" i="4"/>
  <c r="J1706" i="4" s="1"/>
  <c r="D1693" i="4"/>
  <c r="E710" i="4"/>
  <c r="E714" i="4"/>
  <c r="D722" i="4"/>
  <c r="D707" i="4"/>
  <c r="G240" i="5"/>
  <c r="L277" i="5" s="1"/>
  <c r="G235" i="5"/>
  <c r="L272" i="5" s="1"/>
  <c r="G70" i="5"/>
  <c r="L107" i="5" s="1"/>
  <c r="D1210" i="4"/>
  <c r="D1199" i="4"/>
  <c r="E1204" i="4"/>
  <c r="C1217" i="4"/>
  <c r="J1217" i="4" s="1"/>
  <c r="C1215" i="4"/>
  <c r="J1215" i="4" s="1"/>
  <c r="E1207" i="4"/>
  <c r="C1223" i="4"/>
  <c r="J1223" i="4" s="1"/>
  <c r="L319" i="2"/>
  <c r="C969" i="4"/>
  <c r="J969" i="4" s="1"/>
  <c r="E966" i="4"/>
  <c r="E959" i="4"/>
  <c r="D959" i="4"/>
  <c r="D967" i="4"/>
  <c r="D950" i="4"/>
  <c r="C974" i="4"/>
  <c r="J974" i="4" s="1"/>
  <c r="B192" i="5" l="1"/>
  <c r="C192" i="5" s="1"/>
  <c r="D192" i="5" s="1"/>
  <c r="M311" i="2"/>
  <c r="O311" i="2" s="1"/>
  <c r="C29" i="4"/>
  <c r="D714" i="4"/>
  <c r="U265" i="2"/>
  <c r="K9" i="2" s="1"/>
  <c r="G44" i="1" s="1"/>
  <c r="B1258" i="4"/>
  <c r="C1258" i="4" s="1"/>
  <c r="F1258" i="4" s="1"/>
  <c r="I1258" i="4" s="1"/>
  <c r="L1258" i="4" s="1"/>
  <c r="C1371" i="4" s="1"/>
  <c r="J1407" i="4" s="1"/>
  <c r="B1274" i="4"/>
  <c r="C1274" i="4" s="1"/>
  <c r="D1274" i="4" s="1"/>
  <c r="B1504" i="4"/>
  <c r="C1504" i="4" s="1"/>
  <c r="F1504" i="4" s="1"/>
  <c r="I1504" i="4" s="1"/>
  <c r="L1504" i="4" s="1"/>
  <c r="C1617" i="4" s="1"/>
  <c r="J1653" i="4" s="1"/>
  <c r="B275" i="4"/>
  <c r="C275" i="4" s="1"/>
  <c r="F275" i="4" s="1"/>
  <c r="I275" i="4" s="1"/>
  <c r="L275" i="4" s="1"/>
  <c r="C391" i="4" s="1"/>
  <c r="J427" i="4" s="1"/>
  <c r="B42" i="5"/>
  <c r="B196" i="5" s="1"/>
  <c r="C196" i="5" s="1"/>
  <c r="D196" i="5" s="1"/>
  <c r="B767" i="4"/>
  <c r="C767" i="4" s="1"/>
  <c r="D767" i="4" s="1"/>
  <c r="C45" i="4"/>
  <c r="D45" i="4" s="1"/>
  <c r="B538" i="4"/>
  <c r="C538" i="4" s="1"/>
  <c r="F538" i="4" s="1"/>
  <c r="I538" i="4" s="1"/>
  <c r="L538" i="4" s="1"/>
  <c r="C651" i="4" s="1"/>
  <c r="J687" i="4" s="1"/>
  <c r="U266" i="2"/>
  <c r="K10" i="2" s="1"/>
  <c r="L10" i="2" s="1"/>
  <c r="H45" i="1" s="1"/>
  <c r="B1012" i="4" s="1"/>
  <c r="C1012" i="4" s="1"/>
  <c r="C37" i="4"/>
  <c r="D37" i="4" s="1"/>
  <c r="B530" i="4"/>
  <c r="C530" i="4" s="1"/>
  <c r="D530" i="4" s="1"/>
  <c r="B1512" i="4"/>
  <c r="C1512" i="4" s="1"/>
  <c r="D1512" i="4" s="1"/>
  <c r="B283" i="4"/>
  <c r="C283" i="4" s="1"/>
  <c r="D283" i="4" s="1"/>
  <c r="B775" i="4"/>
  <c r="C775" i="4" s="1"/>
  <c r="D775" i="4" s="1"/>
  <c r="X321" i="2"/>
  <c r="T321" i="2" s="1"/>
  <c r="W321" i="2" s="1"/>
  <c r="V262" i="2"/>
  <c r="K312" i="2"/>
  <c r="M312" i="2" s="1"/>
  <c r="O312" i="2" s="1"/>
  <c r="B291" i="4"/>
  <c r="C291" i="4" s="1"/>
  <c r="D291" i="4" s="1"/>
  <c r="X320" i="2"/>
  <c r="T320" i="2" s="1"/>
  <c r="W320" i="2" s="1"/>
  <c r="B41" i="5"/>
  <c r="B195" i="5" s="1"/>
  <c r="C195" i="5" s="1"/>
  <c r="D195" i="5" s="1"/>
  <c r="E195" i="5" s="1"/>
  <c r="B1520" i="4"/>
  <c r="C1520" i="4" s="1"/>
  <c r="D1520" i="4" s="1"/>
  <c r="B175" i="5"/>
  <c r="C175" i="5" s="1"/>
  <c r="D175" i="5" s="1"/>
  <c r="E175" i="5" s="1"/>
  <c r="U263" i="2"/>
  <c r="K7" i="2" s="1"/>
  <c r="G42" i="1" s="1"/>
  <c r="C31" i="5"/>
  <c r="D31" i="5" s="1"/>
  <c r="F31" i="5" s="1"/>
  <c r="O106" i="5"/>
  <c r="E211" i="4"/>
  <c r="M315" i="2"/>
  <c r="O315" i="2" s="1"/>
  <c r="R315" i="2" s="1"/>
  <c r="N316" i="2"/>
  <c r="B1280" i="4"/>
  <c r="C1280" i="4" s="1"/>
  <c r="D1280" i="4" s="1"/>
  <c r="B544" i="4"/>
  <c r="C544" i="4" s="1"/>
  <c r="D544" i="4" s="1"/>
  <c r="N324" i="2"/>
  <c r="D18" i="5"/>
  <c r="E18" i="5" s="1"/>
  <c r="N123" i="5"/>
  <c r="C51" i="4"/>
  <c r="D51" i="4" s="1"/>
  <c r="V260" i="2"/>
  <c r="B297" i="4"/>
  <c r="C297" i="4" s="1"/>
  <c r="D297" i="4" s="1"/>
  <c r="B1526" i="4"/>
  <c r="C1526" i="4" s="1"/>
  <c r="D1526" i="4" s="1"/>
  <c r="G362" i="8"/>
  <c r="H362" i="8" s="1"/>
  <c r="I362" i="8" s="1"/>
  <c r="J362" i="8" s="1"/>
  <c r="X317" i="2"/>
  <c r="M63" i="2" s="1"/>
  <c r="Q317" i="2"/>
  <c r="X324" i="2"/>
  <c r="M70" i="2" s="1"/>
  <c r="G361" i="8"/>
  <c r="H361" i="8" s="1"/>
  <c r="I361" i="8" s="1"/>
  <c r="J361" i="8" s="1"/>
  <c r="X322" i="2"/>
  <c r="M68" i="2" s="1"/>
  <c r="O116" i="5"/>
  <c r="X319" i="2"/>
  <c r="M65" i="2" s="1"/>
  <c r="D239" i="4"/>
  <c r="G370" i="8"/>
  <c r="H370" i="8" s="1"/>
  <c r="I370" i="8" s="1"/>
  <c r="J370" i="8" s="1"/>
  <c r="O121" i="5"/>
  <c r="O274" i="5"/>
  <c r="D235" i="4"/>
  <c r="O260" i="5"/>
  <c r="E235" i="4"/>
  <c r="O113" i="5"/>
  <c r="N267" i="5"/>
  <c r="N271" i="5"/>
  <c r="D981" i="4"/>
  <c r="Q314" i="2"/>
  <c r="D242" i="4"/>
  <c r="N258" i="5"/>
  <c r="E981" i="4"/>
  <c r="D224" i="4"/>
  <c r="G351" i="8"/>
  <c r="H351" i="8" s="1"/>
  <c r="I351" i="8" s="1"/>
  <c r="J351" i="8" s="1"/>
  <c r="N119" i="5"/>
  <c r="G369" i="8"/>
  <c r="H369" i="8" s="1"/>
  <c r="I369" i="8" s="1"/>
  <c r="J369" i="8" s="1"/>
  <c r="B39" i="5"/>
  <c r="B43" i="4"/>
  <c r="V261" i="2"/>
  <c r="X316" i="2"/>
  <c r="T316" i="2" s="1"/>
  <c r="W316" i="2" s="1"/>
  <c r="D374" i="8"/>
  <c r="G374" i="8" s="1"/>
  <c r="H374" i="8" s="1"/>
  <c r="I374" i="8" s="1"/>
  <c r="J374" i="8" s="1"/>
  <c r="D350" i="8"/>
  <c r="G350" i="8" s="1"/>
  <c r="H350" i="8" s="1"/>
  <c r="I350" i="8" s="1"/>
  <c r="J350" i="8" s="1"/>
  <c r="V268" i="2"/>
  <c r="D211" i="4"/>
  <c r="M326" i="2"/>
  <c r="O326" i="2" s="1"/>
  <c r="R326" i="2" s="1"/>
  <c r="D377" i="8"/>
  <c r="G377" i="8" s="1"/>
  <c r="H377" i="8" s="1"/>
  <c r="I377" i="8" s="1"/>
  <c r="J377" i="8" s="1"/>
  <c r="D234" i="4"/>
  <c r="D215" i="4"/>
  <c r="E224" i="4"/>
  <c r="X326" i="2"/>
  <c r="M72" i="2" s="1"/>
  <c r="Q300" i="2"/>
  <c r="X323" i="2"/>
  <c r="M69" i="2" s="1"/>
  <c r="Q325" i="2"/>
  <c r="B44" i="4"/>
  <c r="B40" i="5"/>
  <c r="X315" i="2"/>
  <c r="M61" i="2" s="1"/>
  <c r="N275" i="5"/>
  <c r="B48" i="5"/>
  <c r="B52" i="4"/>
  <c r="M321" i="2"/>
  <c r="O321" i="2" s="1"/>
  <c r="R321" i="2" s="1"/>
  <c r="N120" i="5"/>
  <c r="D484" i="4"/>
  <c r="O101" i="5"/>
  <c r="E239" i="4"/>
  <c r="M310" i="2"/>
  <c r="O310" i="2" s="1"/>
  <c r="N104" i="5"/>
  <c r="D212" i="4"/>
  <c r="D236" i="4"/>
  <c r="D357" i="8"/>
  <c r="G357" i="8" s="1"/>
  <c r="H357" i="8" s="1"/>
  <c r="I357" i="8" s="1"/>
  <c r="J357" i="8" s="1"/>
  <c r="D365" i="8"/>
  <c r="G365" i="8" s="1"/>
  <c r="H365" i="8" s="1"/>
  <c r="I365" i="8" s="1"/>
  <c r="J365" i="8" s="1"/>
  <c r="N83" i="6"/>
  <c r="O126" i="6"/>
  <c r="T339" i="2"/>
  <c r="W339" i="2" s="1"/>
  <c r="M87" i="2"/>
  <c r="L86" i="2"/>
  <c r="H116" i="1" s="1"/>
  <c r="G116" i="1"/>
  <c r="Q269" i="2"/>
  <c r="R269" i="2" s="1"/>
  <c r="X269" i="2"/>
  <c r="S271" i="2"/>
  <c r="S341" i="2"/>
  <c r="P341" i="2" s="1"/>
  <c r="P270" i="2"/>
  <c r="N320" i="2"/>
  <c r="K318" i="2"/>
  <c r="M318" i="2" s="1"/>
  <c r="O318" i="2" s="1"/>
  <c r="V339" i="2"/>
  <c r="U339" i="2"/>
  <c r="K87" i="2" s="1"/>
  <c r="Q340" i="2"/>
  <c r="R340" i="2" s="1"/>
  <c r="X340" i="2"/>
  <c r="N310" i="2"/>
  <c r="N314" i="2"/>
  <c r="N322" i="2"/>
  <c r="M324" i="2"/>
  <c r="O324" i="2" s="1"/>
  <c r="R324" i="2" s="1"/>
  <c r="D378" i="8"/>
  <c r="G378" i="8" s="1"/>
  <c r="H378" i="8" s="1"/>
  <c r="I378" i="8" s="1"/>
  <c r="J378" i="8" s="1"/>
  <c r="M314" i="2"/>
  <c r="O314" i="2" s="1"/>
  <c r="D360" i="8"/>
  <c r="G360" i="8" s="1"/>
  <c r="H360" i="8" s="1"/>
  <c r="I360" i="8" s="1"/>
  <c r="J360" i="8" s="1"/>
  <c r="M316" i="2"/>
  <c r="O316" i="2" s="1"/>
  <c r="R316" i="2" s="1"/>
  <c r="M322" i="2"/>
  <c r="O322" i="2" s="1"/>
  <c r="R322" i="2" s="1"/>
  <c r="D354" i="8"/>
  <c r="G354" i="8" s="1"/>
  <c r="H354" i="8" s="1"/>
  <c r="I354" i="8" s="1"/>
  <c r="J354" i="8" s="1"/>
  <c r="M317" i="2"/>
  <c r="O317" i="2" s="1"/>
  <c r="J373" i="7"/>
  <c r="K373" i="7" s="1"/>
  <c r="G373" i="7"/>
  <c r="H373" i="7" s="1"/>
  <c r="F373" i="7"/>
  <c r="J370" i="7"/>
  <c r="K370" i="7" s="1"/>
  <c r="G370" i="7"/>
  <c r="H370" i="7" s="1"/>
  <c r="F370" i="7"/>
  <c r="J378" i="7"/>
  <c r="K378" i="7" s="1"/>
  <c r="G378" i="7"/>
  <c r="H378" i="7" s="1"/>
  <c r="F378" i="7"/>
  <c r="G328" i="3"/>
  <c r="M40" i="3" s="1"/>
  <c r="K40" i="3"/>
  <c r="J381" i="7"/>
  <c r="K381" i="7" s="1"/>
  <c r="G381" i="7"/>
  <c r="H381" i="7" s="1"/>
  <c r="F381" i="7"/>
  <c r="G363" i="7"/>
  <c r="H363" i="7" s="1"/>
  <c r="J363" i="7"/>
  <c r="K363" i="7" s="1"/>
  <c r="F363" i="7"/>
  <c r="G365" i="7"/>
  <c r="H365" i="7" s="1"/>
  <c r="J365" i="7"/>
  <c r="K365" i="7" s="1"/>
  <c r="F365" i="7"/>
  <c r="J392" i="7"/>
  <c r="K392" i="7" s="1"/>
  <c r="G392" i="7"/>
  <c r="H392" i="7" s="1"/>
  <c r="F392" i="7"/>
  <c r="G382" i="7"/>
  <c r="H382" i="7" s="1"/>
  <c r="J382" i="7"/>
  <c r="K382" i="7" s="1"/>
  <c r="F382" i="7"/>
  <c r="G391" i="7"/>
  <c r="H391" i="7" s="1"/>
  <c r="J391" i="7"/>
  <c r="K391" i="7" s="1"/>
  <c r="F391" i="7"/>
  <c r="J362" i="7"/>
  <c r="K362" i="7" s="1"/>
  <c r="G362" i="7"/>
  <c r="H362" i="7" s="1"/>
  <c r="F362" i="7"/>
  <c r="J387" i="7"/>
  <c r="K387" i="7" s="1"/>
  <c r="G387" i="7"/>
  <c r="H387" i="7" s="1"/>
  <c r="F387" i="7"/>
  <c r="G377" i="7"/>
  <c r="H377" i="7" s="1"/>
  <c r="J377" i="7"/>
  <c r="K377" i="7" s="1"/>
  <c r="F377" i="7"/>
  <c r="G366" i="7"/>
  <c r="H366" i="7" s="1"/>
  <c r="J366" i="7"/>
  <c r="K366" i="7" s="1"/>
  <c r="F366" i="7"/>
  <c r="G386" i="7"/>
  <c r="H386" i="7" s="1"/>
  <c r="J386" i="7"/>
  <c r="K386" i="7" s="1"/>
  <c r="F386" i="7"/>
  <c r="J388" i="7"/>
  <c r="K388" i="7" s="1"/>
  <c r="G388" i="7"/>
  <c r="H388" i="7" s="1"/>
  <c r="F388" i="7"/>
  <c r="J379" i="7"/>
  <c r="K379" i="7" s="1"/>
  <c r="G379" i="7"/>
  <c r="H379" i="7" s="1"/>
  <c r="F379" i="7"/>
  <c r="Q311" i="2"/>
  <c r="R311" i="2" s="1"/>
  <c r="X311" i="2"/>
  <c r="N107" i="5"/>
  <c r="O107" i="5"/>
  <c r="O277" i="5"/>
  <c r="N277" i="5"/>
  <c r="X312" i="2"/>
  <c r="Q312" i="2"/>
  <c r="O255" i="5"/>
  <c r="N255" i="5"/>
  <c r="O278" i="5"/>
  <c r="N278" i="5"/>
  <c r="O273" i="5"/>
  <c r="N273" i="5"/>
  <c r="O268" i="5"/>
  <c r="N268" i="5"/>
  <c r="Q306" i="2"/>
  <c r="O118" i="5"/>
  <c r="N118" i="5"/>
  <c r="Q301" i="2"/>
  <c r="Q318" i="2"/>
  <c r="X318" i="2"/>
  <c r="O115" i="5"/>
  <c r="N115" i="5"/>
  <c r="N112" i="5"/>
  <c r="O112" i="5"/>
  <c r="O117" i="5"/>
  <c r="N117" i="5"/>
  <c r="D1164" i="4"/>
  <c r="D1203" i="4"/>
  <c r="E716" i="4"/>
  <c r="E677" i="4"/>
  <c r="E472" i="4"/>
  <c r="E433" i="4"/>
  <c r="E688" i="4"/>
  <c r="E727" i="4"/>
  <c r="E1670" i="4"/>
  <c r="E1709" i="4"/>
  <c r="D1183" i="4"/>
  <c r="D1222" i="4"/>
  <c r="E1675" i="4"/>
  <c r="E1714" i="4"/>
  <c r="D1679" i="4"/>
  <c r="D1718" i="4"/>
  <c r="E736" i="4"/>
  <c r="E697" i="4"/>
  <c r="D970" i="4"/>
  <c r="D931" i="4"/>
  <c r="D481" i="4"/>
  <c r="D442" i="4"/>
  <c r="D1179" i="4"/>
  <c r="D1218" i="4"/>
  <c r="D1671" i="4"/>
  <c r="D1710" i="4"/>
  <c r="E1182" i="4"/>
  <c r="E1221" i="4"/>
  <c r="D487" i="4"/>
  <c r="D448" i="4"/>
  <c r="E1421" i="4"/>
  <c r="E1460" i="4"/>
  <c r="D1175" i="4"/>
  <c r="D1214" i="4"/>
  <c r="E230" i="4"/>
  <c r="E192" i="4"/>
  <c r="E482" i="4"/>
  <c r="E443" i="4"/>
  <c r="E690" i="4"/>
  <c r="E729" i="4"/>
  <c r="E1180" i="4"/>
  <c r="E1219" i="4"/>
  <c r="D935" i="4"/>
  <c r="D974" i="4"/>
  <c r="E733" i="4"/>
  <c r="E694" i="4"/>
  <c r="D939" i="4"/>
  <c r="D978" i="4"/>
  <c r="E489" i="4"/>
  <c r="E450" i="4"/>
  <c r="G364" i="3"/>
  <c r="M77" i="3" s="1"/>
  <c r="K77" i="3"/>
  <c r="L77" i="3" s="1"/>
  <c r="C340" i="3"/>
  <c r="D340" i="3" s="1"/>
  <c r="E340" i="3" s="1"/>
  <c r="F340" i="3" s="1"/>
  <c r="C350" i="3"/>
  <c r="D350" i="3" s="1"/>
  <c r="E350" i="3" s="1"/>
  <c r="F350" i="3" s="1"/>
  <c r="C370" i="3"/>
  <c r="D370" i="3" s="1"/>
  <c r="E370" i="3" s="1"/>
  <c r="F370" i="3" s="1"/>
  <c r="C354" i="3"/>
  <c r="D354" i="3" s="1"/>
  <c r="E354" i="3" s="1"/>
  <c r="F354" i="3" s="1"/>
  <c r="C381" i="3"/>
  <c r="D381" i="3" s="1"/>
  <c r="E381" i="3" s="1"/>
  <c r="F381" i="3" s="1"/>
  <c r="C337" i="3"/>
  <c r="D337" i="3" s="1"/>
  <c r="E337" i="3" s="1"/>
  <c r="F337" i="3" s="1"/>
  <c r="C389" i="3"/>
  <c r="D389" i="3" s="1"/>
  <c r="E389" i="3" s="1"/>
  <c r="F389" i="3" s="1"/>
  <c r="B1516" i="4"/>
  <c r="C1516" i="4" s="1"/>
  <c r="B534" i="4"/>
  <c r="C534" i="4" s="1"/>
  <c r="B287" i="4"/>
  <c r="C287" i="4" s="1"/>
  <c r="B779" i="4"/>
  <c r="C779" i="4" s="1"/>
  <c r="C41" i="4"/>
  <c r="B1270" i="4"/>
  <c r="C1270" i="4" s="1"/>
  <c r="B523" i="4"/>
  <c r="C523" i="4" s="1"/>
  <c r="B1505" i="4"/>
  <c r="C1505" i="4" s="1"/>
  <c r="B1259" i="4"/>
  <c r="C1259" i="4" s="1"/>
  <c r="B768" i="4"/>
  <c r="C768" i="4" s="1"/>
  <c r="C30" i="4"/>
  <c r="B276" i="4"/>
  <c r="C276" i="4" s="1"/>
  <c r="L5" i="2"/>
  <c r="H40" i="1" s="1"/>
  <c r="B1007" i="4" s="1"/>
  <c r="C1007" i="4" s="1"/>
  <c r="G40" i="1"/>
  <c r="F543" i="4"/>
  <c r="I543" i="4" s="1"/>
  <c r="L543" i="4" s="1"/>
  <c r="C656" i="4" s="1"/>
  <c r="J692" i="4" s="1"/>
  <c r="D543" i="4"/>
  <c r="D1525" i="4"/>
  <c r="F1525" i="4"/>
  <c r="I1525" i="4" s="1"/>
  <c r="L1525" i="4" s="1"/>
  <c r="C1638" i="4" s="1"/>
  <c r="J1674" i="4" s="1"/>
  <c r="D50" i="4"/>
  <c r="F50" i="4"/>
  <c r="I50" i="4" s="1"/>
  <c r="L50" i="4" s="1"/>
  <c r="C162" i="4" s="1"/>
  <c r="J199" i="4" s="1"/>
  <c r="D1170" i="4"/>
  <c r="D1209" i="4"/>
  <c r="E1415" i="4"/>
  <c r="E1454" i="4"/>
  <c r="E236" i="4"/>
  <c r="E198" i="4"/>
  <c r="D941" i="4"/>
  <c r="D980" i="4"/>
  <c r="E491" i="4"/>
  <c r="E452" i="4"/>
  <c r="C392" i="3"/>
  <c r="D392" i="3" s="1"/>
  <c r="E392" i="3" s="1"/>
  <c r="F392" i="3" s="1"/>
  <c r="C347" i="3"/>
  <c r="D347" i="3" s="1"/>
  <c r="E347" i="3" s="1"/>
  <c r="F347" i="3" s="1"/>
  <c r="C339" i="3"/>
  <c r="D339" i="3" s="1"/>
  <c r="E339" i="3" s="1"/>
  <c r="F339" i="3" s="1"/>
  <c r="C355" i="3"/>
  <c r="D355" i="3" s="1"/>
  <c r="E355" i="3" s="1"/>
  <c r="F355" i="3" s="1"/>
  <c r="C365" i="3"/>
  <c r="D365" i="3" s="1"/>
  <c r="E365" i="3" s="1"/>
  <c r="F365" i="3" s="1"/>
  <c r="D1510" i="4"/>
  <c r="F1510" i="4"/>
  <c r="I1510" i="4" s="1"/>
  <c r="L1510" i="4" s="1"/>
  <c r="C1623" i="4" s="1"/>
  <c r="J1659" i="4" s="1"/>
  <c r="F528" i="4"/>
  <c r="I528" i="4" s="1"/>
  <c r="L528" i="4" s="1"/>
  <c r="C641" i="4" s="1"/>
  <c r="J677" i="4" s="1"/>
  <c r="D528" i="4"/>
  <c r="F773" i="4"/>
  <c r="I773" i="4" s="1"/>
  <c r="L773" i="4" s="1"/>
  <c r="C886" i="4" s="1"/>
  <c r="J922" i="4" s="1"/>
  <c r="D773" i="4"/>
  <c r="D275" i="4"/>
  <c r="D522" i="4"/>
  <c r="F522" i="4"/>
  <c r="I522" i="4" s="1"/>
  <c r="L522" i="4" s="1"/>
  <c r="C635" i="4" s="1"/>
  <c r="J671" i="4" s="1"/>
  <c r="F22" i="4"/>
  <c r="I22" i="4" s="1"/>
  <c r="L22" i="4" s="1"/>
  <c r="C134" i="4" s="1"/>
  <c r="D22" i="4"/>
  <c r="D1251" i="4"/>
  <c r="F1251" i="4"/>
  <c r="I1251" i="4" s="1"/>
  <c r="L1251" i="4" s="1"/>
  <c r="C1364" i="4" s="1"/>
  <c r="J1400" i="4" s="1"/>
  <c r="D268" i="4"/>
  <c r="F268" i="4"/>
  <c r="I268" i="4" s="1"/>
  <c r="L268" i="4" s="1"/>
  <c r="C384" i="4" s="1"/>
  <c r="J420" i="4" s="1"/>
  <c r="F518" i="4"/>
  <c r="I518" i="4" s="1"/>
  <c r="L518" i="4" s="1"/>
  <c r="C631" i="4" s="1"/>
  <c r="J667" i="4" s="1"/>
  <c r="D518" i="4"/>
  <c r="D763" i="4"/>
  <c r="F763" i="4"/>
  <c r="I763" i="4" s="1"/>
  <c r="L763" i="4" s="1"/>
  <c r="C876" i="4" s="1"/>
  <c r="J912" i="4" s="1"/>
  <c r="F271" i="4"/>
  <c r="I271" i="4" s="1"/>
  <c r="L271" i="4" s="1"/>
  <c r="C387" i="4" s="1"/>
  <c r="J423" i="4" s="1"/>
  <c r="D271" i="4"/>
  <c r="F42" i="4"/>
  <c r="I42" i="4" s="1"/>
  <c r="L42" i="4" s="1"/>
  <c r="C154" i="4" s="1"/>
  <c r="J191" i="4" s="1"/>
  <c r="D42" i="4"/>
  <c r="D1271" i="4"/>
  <c r="F1271" i="4"/>
  <c r="I1271" i="4" s="1"/>
  <c r="L1271" i="4" s="1"/>
  <c r="C1384" i="4" s="1"/>
  <c r="J1420" i="4" s="1"/>
  <c r="D288" i="4"/>
  <c r="F288" i="4"/>
  <c r="I288" i="4" s="1"/>
  <c r="L288" i="4" s="1"/>
  <c r="C404" i="4" s="1"/>
  <c r="J440" i="4" s="1"/>
  <c r="D1283" i="4"/>
  <c r="F1283" i="4"/>
  <c r="I1283" i="4" s="1"/>
  <c r="L1283" i="4" s="1"/>
  <c r="C1396" i="4" s="1"/>
  <c r="J1432" i="4" s="1"/>
  <c r="F300" i="4"/>
  <c r="I300" i="4" s="1"/>
  <c r="L300" i="4" s="1"/>
  <c r="C416" i="4" s="1"/>
  <c r="J452" i="4" s="1"/>
  <c r="D300" i="4"/>
  <c r="D547" i="4"/>
  <c r="F547" i="4"/>
  <c r="I547" i="4" s="1"/>
  <c r="L547" i="4" s="1"/>
  <c r="C660" i="4" s="1"/>
  <c r="J696" i="4" s="1"/>
  <c r="D1508" i="4"/>
  <c r="F1508" i="4"/>
  <c r="I1508" i="4" s="1"/>
  <c r="L1508" i="4" s="1"/>
  <c r="C1621" i="4" s="1"/>
  <c r="J1657" i="4" s="1"/>
  <c r="F1262" i="4"/>
  <c r="I1262" i="4" s="1"/>
  <c r="L1262" i="4" s="1"/>
  <c r="C1375" i="4" s="1"/>
  <c r="J1411" i="4" s="1"/>
  <c r="D1262" i="4"/>
  <c r="F279" i="4"/>
  <c r="I279" i="4" s="1"/>
  <c r="L279" i="4" s="1"/>
  <c r="C395" i="4" s="1"/>
  <c r="J431" i="4" s="1"/>
  <c r="D279" i="4"/>
  <c r="F1266" i="4"/>
  <c r="I1266" i="4" s="1"/>
  <c r="L1266" i="4" s="1"/>
  <c r="C1379" i="4" s="1"/>
  <c r="J1415" i="4" s="1"/>
  <c r="D1266" i="4"/>
  <c r="D1261" i="4"/>
  <c r="F1261" i="4"/>
  <c r="I1261" i="4" s="1"/>
  <c r="L1261" i="4" s="1"/>
  <c r="C1374" i="4" s="1"/>
  <c r="J1410" i="4" s="1"/>
  <c r="D278" i="4"/>
  <c r="F278" i="4"/>
  <c r="I278" i="4" s="1"/>
  <c r="L278" i="4" s="1"/>
  <c r="C394" i="4" s="1"/>
  <c r="J430" i="4" s="1"/>
  <c r="F32" i="4"/>
  <c r="I32" i="4" s="1"/>
  <c r="L32" i="4" s="1"/>
  <c r="C144" i="4" s="1"/>
  <c r="J181" i="4" s="1"/>
  <c r="D32" i="4"/>
  <c r="F1263" i="4"/>
  <c r="I1263" i="4" s="1"/>
  <c r="L1263" i="4" s="1"/>
  <c r="C1376" i="4" s="1"/>
  <c r="J1412" i="4" s="1"/>
  <c r="D1263" i="4"/>
  <c r="F1509" i="4"/>
  <c r="I1509" i="4" s="1"/>
  <c r="L1509" i="4" s="1"/>
  <c r="C1622" i="4" s="1"/>
  <c r="J1658" i="4" s="1"/>
  <c r="D1509" i="4"/>
  <c r="D527" i="4"/>
  <c r="F527" i="4"/>
  <c r="I527" i="4" s="1"/>
  <c r="L527" i="4" s="1"/>
  <c r="C640" i="4" s="1"/>
  <c r="J676" i="4" s="1"/>
  <c r="D1499" i="4"/>
  <c r="F1499" i="4"/>
  <c r="I1499" i="4" s="1"/>
  <c r="L1499" i="4" s="1"/>
  <c r="C1612" i="4" s="1"/>
  <c r="J1648" i="4" s="1"/>
  <c r="D1253" i="4"/>
  <c r="F1253" i="4"/>
  <c r="I1253" i="4" s="1"/>
  <c r="L1253" i="4" s="1"/>
  <c r="C1366" i="4" s="1"/>
  <c r="J1402" i="4" s="1"/>
  <c r="F24" i="4"/>
  <c r="I24" i="4" s="1"/>
  <c r="L24" i="4" s="1"/>
  <c r="C136" i="4" s="1"/>
  <c r="J173" i="4" s="1"/>
  <c r="D24" i="4"/>
  <c r="J385" i="7"/>
  <c r="K385" i="7" s="1"/>
  <c r="G385" i="7"/>
  <c r="H385" i="7" s="1"/>
  <c r="F385" i="7"/>
  <c r="J380" i="7"/>
  <c r="K380" i="7" s="1"/>
  <c r="G380" i="7"/>
  <c r="H380" i="7" s="1"/>
  <c r="F380" i="7"/>
  <c r="J372" i="7"/>
  <c r="K372" i="7" s="1"/>
  <c r="G372" i="7"/>
  <c r="H372" i="7" s="1"/>
  <c r="F372" i="7"/>
  <c r="E713" i="4"/>
  <c r="E674" i="4"/>
  <c r="D1410" i="4"/>
  <c r="D1449" i="4"/>
  <c r="D219" i="4"/>
  <c r="D181" i="4"/>
  <c r="D1659" i="4"/>
  <c r="D1698" i="4"/>
  <c r="E1178" i="4"/>
  <c r="E1217" i="4"/>
  <c r="D933" i="4"/>
  <c r="D972" i="4"/>
  <c r="E483" i="4"/>
  <c r="E444" i="4"/>
  <c r="E938" i="4"/>
  <c r="E977" i="4"/>
  <c r="E1187" i="4"/>
  <c r="E1226" i="4"/>
  <c r="E725" i="4"/>
  <c r="E686" i="4"/>
  <c r="E934" i="4"/>
  <c r="E973" i="4"/>
  <c r="D1425" i="4"/>
  <c r="D1464" i="4"/>
  <c r="D731" i="4"/>
  <c r="D692" i="4"/>
  <c r="E937" i="4"/>
  <c r="E976" i="4"/>
  <c r="D480" i="4"/>
  <c r="D441" i="4"/>
  <c r="E1177" i="4"/>
  <c r="E1216" i="4"/>
  <c r="D1672" i="4"/>
  <c r="D1711" i="4"/>
  <c r="E1426" i="4"/>
  <c r="E1465" i="4"/>
  <c r="E1184" i="4"/>
  <c r="E1223" i="4"/>
  <c r="L236" i="6"/>
  <c r="C394" i="3"/>
  <c r="D394" i="3" s="1"/>
  <c r="E394" i="3" s="1"/>
  <c r="F394" i="3" s="1"/>
  <c r="C395" i="3"/>
  <c r="D395" i="3" s="1"/>
  <c r="E395" i="3" s="1"/>
  <c r="F395" i="3" s="1"/>
  <c r="C359" i="3"/>
  <c r="D359" i="3" s="1"/>
  <c r="E359" i="3" s="1"/>
  <c r="F359" i="3" s="1"/>
  <c r="C336" i="3"/>
  <c r="D336" i="3" s="1"/>
  <c r="E336" i="3" s="1"/>
  <c r="F336" i="3" s="1"/>
  <c r="C382" i="3"/>
  <c r="D382" i="3" s="1"/>
  <c r="E382" i="3" s="1"/>
  <c r="F382" i="3" s="1"/>
  <c r="C333" i="3"/>
  <c r="D333" i="3" s="1"/>
  <c r="E333" i="3" s="1"/>
  <c r="F333" i="3" s="1"/>
  <c r="C369" i="3"/>
  <c r="D369" i="3" s="1"/>
  <c r="E369" i="3" s="1"/>
  <c r="F369" i="3" s="1"/>
  <c r="E225" i="4"/>
  <c r="E187" i="4"/>
  <c r="D475" i="4"/>
  <c r="D436" i="4"/>
  <c r="E1169" i="4"/>
  <c r="E1208" i="4"/>
  <c r="E691" i="4"/>
  <c r="E730" i="4"/>
  <c r="E1673" i="4"/>
  <c r="E1712" i="4"/>
  <c r="D486" i="4"/>
  <c r="D447" i="4"/>
  <c r="E1678" i="4"/>
  <c r="E1717" i="4"/>
  <c r="J384" i="7"/>
  <c r="K384" i="7" s="1"/>
  <c r="G384" i="7"/>
  <c r="H384" i="7" s="1"/>
  <c r="F384" i="7"/>
  <c r="J371" i="7"/>
  <c r="K371" i="7" s="1"/>
  <c r="G371" i="7"/>
  <c r="H371" i="7" s="1"/>
  <c r="F371" i="7"/>
  <c r="L8" i="2"/>
  <c r="H43" i="1" s="1"/>
  <c r="B1010" i="4" s="1"/>
  <c r="C1010" i="4" s="1"/>
  <c r="G43" i="1"/>
  <c r="C351" i="3"/>
  <c r="D351" i="3" s="1"/>
  <c r="E351" i="3" s="1"/>
  <c r="F351" i="3" s="1"/>
  <c r="E1416" i="4"/>
  <c r="E1455" i="4"/>
  <c r="E696" i="4"/>
  <c r="E735" i="4"/>
  <c r="E1186" i="4"/>
  <c r="E1225" i="4"/>
  <c r="J369" i="7"/>
  <c r="K369" i="7" s="1"/>
  <c r="G369" i="7"/>
  <c r="H369" i="7" s="1"/>
  <c r="F369" i="7"/>
  <c r="B188" i="5"/>
  <c r="C188" i="5" s="1"/>
  <c r="D188" i="5" s="1"/>
  <c r="C34" i="5"/>
  <c r="D34" i="5" s="1"/>
  <c r="B198" i="5"/>
  <c r="C198" i="5" s="1"/>
  <c r="D198" i="5" s="1"/>
  <c r="C44" i="5"/>
  <c r="D44" i="5" s="1"/>
  <c r="B173" i="5"/>
  <c r="C173" i="5" s="1"/>
  <c r="D173" i="5" s="1"/>
  <c r="C19" i="5"/>
  <c r="D19" i="5" s="1"/>
  <c r="B186" i="5"/>
  <c r="C186" i="5" s="1"/>
  <c r="D186" i="5" s="1"/>
  <c r="C32" i="5"/>
  <c r="D32" i="5" s="1"/>
  <c r="B178" i="5"/>
  <c r="C178" i="5" s="1"/>
  <c r="D178" i="5" s="1"/>
  <c r="C24" i="5"/>
  <c r="D24" i="5" s="1"/>
  <c r="B189" i="5"/>
  <c r="C189" i="5" s="1"/>
  <c r="D189" i="5" s="1"/>
  <c r="C35" i="5"/>
  <c r="D35" i="5" s="1"/>
  <c r="D919" i="4"/>
  <c r="D958" i="4"/>
  <c r="E1656" i="4"/>
  <c r="E1695" i="4"/>
  <c r="D1413" i="4"/>
  <c r="D1452" i="4"/>
  <c r="D1429" i="4"/>
  <c r="D1468" i="4"/>
  <c r="D488" i="4"/>
  <c r="D449" i="4"/>
  <c r="E1433" i="4"/>
  <c r="E1472" i="4"/>
  <c r="E1668" i="4"/>
  <c r="E1707" i="4"/>
  <c r="D1422" i="4"/>
  <c r="D1461" i="4"/>
  <c r="D728" i="4"/>
  <c r="D689" i="4"/>
  <c r="E1428" i="4"/>
  <c r="E1467" i="4"/>
  <c r="D1674" i="4"/>
  <c r="D1713" i="4"/>
  <c r="D1423" i="4"/>
  <c r="D1462" i="4"/>
  <c r="D726" i="4"/>
  <c r="D687" i="4"/>
  <c r="D1676" i="4"/>
  <c r="D1715" i="4"/>
  <c r="B1501" i="4"/>
  <c r="C1501" i="4" s="1"/>
  <c r="B764" i="4"/>
  <c r="C764" i="4" s="1"/>
  <c r="B272" i="4"/>
  <c r="C272" i="4" s="1"/>
  <c r="B1255" i="4"/>
  <c r="C1255" i="4" s="1"/>
  <c r="B519" i="4"/>
  <c r="C519" i="4" s="1"/>
  <c r="C26" i="4"/>
  <c r="B1256" i="4"/>
  <c r="C1256" i="4" s="1"/>
  <c r="C27" i="4"/>
  <c r="B765" i="4"/>
  <c r="C765" i="4" s="1"/>
  <c r="B273" i="4"/>
  <c r="C273" i="4" s="1"/>
  <c r="B1502" i="4"/>
  <c r="C1502" i="4" s="1"/>
  <c r="B520" i="4"/>
  <c r="C520" i="4" s="1"/>
  <c r="B181" i="5"/>
  <c r="C181" i="5" s="1"/>
  <c r="D181" i="5" s="1"/>
  <c r="C27" i="5"/>
  <c r="D27" i="5" s="1"/>
  <c r="C348" i="3"/>
  <c r="D348" i="3" s="1"/>
  <c r="E348" i="3" s="1"/>
  <c r="F348" i="3" s="1"/>
  <c r="C384" i="3"/>
  <c r="D384" i="3" s="1"/>
  <c r="E384" i="3" s="1"/>
  <c r="F384" i="3" s="1"/>
  <c r="C331" i="3"/>
  <c r="D331" i="3" s="1"/>
  <c r="E331" i="3" s="1"/>
  <c r="F331" i="3" s="1"/>
  <c r="C378" i="3"/>
  <c r="D378" i="3" s="1"/>
  <c r="E378" i="3" s="1"/>
  <c r="F378" i="3" s="1"/>
  <c r="I79" i="1"/>
  <c r="K46" i="7"/>
  <c r="I367" i="7"/>
  <c r="L367" i="7" s="1"/>
  <c r="C357" i="3"/>
  <c r="D357" i="3" s="1"/>
  <c r="E357" i="3" s="1"/>
  <c r="F357" i="3" s="1"/>
  <c r="C385" i="3"/>
  <c r="D385" i="3" s="1"/>
  <c r="E385" i="3" s="1"/>
  <c r="F385" i="3" s="1"/>
  <c r="C341" i="3"/>
  <c r="D341" i="3" s="1"/>
  <c r="E341" i="3" s="1"/>
  <c r="F341" i="3" s="1"/>
  <c r="C368" i="3"/>
  <c r="D368" i="3" s="1"/>
  <c r="E368" i="3" s="1"/>
  <c r="F368" i="3" s="1"/>
  <c r="B292" i="4"/>
  <c r="C292" i="4" s="1"/>
  <c r="B784" i="4"/>
  <c r="C784" i="4" s="1"/>
  <c r="B1275" i="4"/>
  <c r="C1275" i="4" s="1"/>
  <c r="B1521" i="4"/>
  <c r="C1521" i="4" s="1"/>
  <c r="C46" i="4"/>
  <c r="B539" i="4"/>
  <c r="C539" i="4" s="1"/>
  <c r="B546" i="4"/>
  <c r="C546" i="4" s="1"/>
  <c r="B299" i="4"/>
  <c r="C299" i="4" s="1"/>
  <c r="C53" i="4"/>
  <c r="B791" i="4"/>
  <c r="C791" i="4" s="1"/>
  <c r="B1282" i="4"/>
  <c r="C1282" i="4" s="1"/>
  <c r="B1528" i="4"/>
  <c r="C1528" i="4" s="1"/>
  <c r="L4" i="2"/>
  <c r="H39" i="1" s="1"/>
  <c r="B1006" i="4" s="1"/>
  <c r="C1006" i="4" s="1"/>
  <c r="G39" i="1"/>
  <c r="C330" i="3"/>
  <c r="D330" i="3" s="1"/>
  <c r="E330" i="3" s="1"/>
  <c r="F330" i="3" s="1"/>
  <c r="F200" i="5"/>
  <c r="E200" i="5"/>
  <c r="E1662" i="4"/>
  <c r="E1701" i="4"/>
  <c r="E925" i="4"/>
  <c r="E964" i="4"/>
  <c r="D1661" i="4"/>
  <c r="D1700" i="4"/>
  <c r="D474" i="4"/>
  <c r="D435" i="4"/>
  <c r="D1181" i="4"/>
  <c r="D1220" i="4"/>
  <c r="D1427" i="4"/>
  <c r="D1466" i="4"/>
  <c r="D241" i="4"/>
  <c r="D203" i="4"/>
  <c r="E1432" i="4"/>
  <c r="E1471" i="4"/>
  <c r="C352" i="3"/>
  <c r="D352" i="3" s="1"/>
  <c r="E352" i="3" s="1"/>
  <c r="F352" i="3" s="1"/>
  <c r="C379" i="3"/>
  <c r="D379" i="3" s="1"/>
  <c r="E379" i="3" s="1"/>
  <c r="F379" i="3" s="1"/>
  <c r="C335" i="3"/>
  <c r="D335" i="3" s="1"/>
  <c r="E335" i="3" s="1"/>
  <c r="F335" i="3" s="1"/>
  <c r="F185" i="5"/>
  <c r="E185" i="5"/>
  <c r="E179" i="5"/>
  <c r="F179" i="5"/>
  <c r="F192" i="5"/>
  <c r="E192" i="5"/>
  <c r="E204" i="5"/>
  <c r="F204" i="5"/>
  <c r="E29" i="5"/>
  <c r="F29" i="5"/>
  <c r="E187" i="5"/>
  <c r="F187" i="5"/>
  <c r="F201" i="5"/>
  <c r="E201" i="5"/>
  <c r="F182" i="5"/>
  <c r="E182" i="5"/>
  <c r="F184" i="5"/>
  <c r="E184" i="5"/>
  <c r="E20" i="5"/>
  <c r="F20" i="5"/>
  <c r="L12" i="2"/>
  <c r="H47" i="1" s="1"/>
  <c r="B1014" i="4" s="1"/>
  <c r="C1014" i="4" s="1"/>
  <c r="G47" i="1"/>
  <c r="M60" i="2"/>
  <c r="T314" i="2"/>
  <c r="W314" i="2" s="1"/>
  <c r="D469" i="4"/>
  <c r="D430" i="4"/>
  <c r="E1167" i="4"/>
  <c r="E1206" i="4"/>
  <c r="D961" i="4"/>
  <c r="D922" i="4"/>
  <c r="D1424" i="4"/>
  <c r="D1463" i="4"/>
  <c r="E732" i="4"/>
  <c r="E693" i="4"/>
  <c r="E242" i="4"/>
  <c r="E204" i="4"/>
  <c r="E492" i="4"/>
  <c r="E453" i="4"/>
  <c r="E1176" i="4"/>
  <c r="E1215" i="4"/>
  <c r="E231" i="4"/>
  <c r="E193" i="4"/>
  <c r="E484" i="4"/>
  <c r="E445" i="4"/>
  <c r="D237" i="4"/>
  <c r="D199" i="4"/>
  <c r="E930" i="4"/>
  <c r="E969" i="4"/>
  <c r="D724" i="4"/>
  <c r="D685" i="4"/>
  <c r="D1667" i="4"/>
  <c r="D1706" i="4"/>
  <c r="E932" i="4"/>
  <c r="E971" i="4"/>
  <c r="D1669" i="4"/>
  <c r="D1708" i="4"/>
  <c r="E485" i="4"/>
  <c r="E446" i="4"/>
  <c r="D1430" i="4"/>
  <c r="D1469" i="4"/>
  <c r="D1005" i="4"/>
  <c r="F1005" i="4"/>
  <c r="I1005" i="4" s="1"/>
  <c r="L1005" i="4" s="1"/>
  <c r="C1118" i="4" s="1"/>
  <c r="C43" i="5"/>
  <c r="D43" i="5" s="1"/>
  <c r="B197" i="5"/>
  <c r="C197" i="5" s="1"/>
  <c r="D197" i="5" s="1"/>
  <c r="C45" i="5"/>
  <c r="D45" i="5" s="1"/>
  <c r="B199" i="5"/>
  <c r="C199" i="5" s="1"/>
  <c r="D199" i="5" s="1"/>
  <c r="B190" i="5"/>
  <c r="C190" i="5" s="1"/>
  <c r="D190" i="5" s="1"/>
  <c r="C36" i="5"/>
  <c r="D36" i="5" s="1"/>
  <c r="C344" i="3"/>
  <c r="D344" i="3" s="1"/>
  <c r="E344" i="3" s="1"/>
  <c r="F344" i="3" s="1"/>
  <c r="C338" i="3"/>
  <c r="D338" i="3" s="1"/>
  <c r="E338" i="3" s="1"/>
  <c r="F338" i="3" s="1"/>
  <c r="C374" i="3"/>
  <c r="D374" i="3" s="1"/>
  <c r="E374" i="3" s="1"/>
  <c r="F374" i="3" s="1"/>
  <c r="D719" i="4"/>
  <c r="D680" i="4"/>
  <c r="D718" i="4"/>
  <c r="D679" i="4"/>
  <c r="E924" i="4"/>
  <c r="E963" i="4"/>
  <c r="D936" i="4"/>
  <c r="D975" i="4"/>
  <c r="M71" i="2"/>
  <c r="T325" i="2"/>
  <c r="W325" i="2" s="1"/>
  <c r="I105" i="1"/>
  <c r="K72" i="7"/>
  <c r="K76" i="7"/>
  <c r="H393" i="7"/>
  <c r="L76" i="7"/>
  <c r="I95" i="1"/>
  <c r="K62" i="7"/>
  <c r="I73" i="1"/>
  <c r="K40" i="7"/>
  <c r="M320" i="2"/>
  <c r="O320" i="2" s="1"/>
  <c r="R320" i="2" s="1"/>
  <c r="D222" i="4"/>
  <c r="E461" i="4"/>
  <c r="L235" i="6"/>
  <c r="M313" i="2"/>
  <c r="O313" i="2" s="1"/>
  <c r="M323" i="2"/>
  <c r="O323" i="2" s="1"/>
  <c r="R323" i="2" s="1"/>
  <c r="D461" i="4"/>
  <c r="D225" i="4"/>
  <c r="D238" i="4"/>
  <c r="E215" i="4"/>
  <c r="D364" i="8"/>
  <c r="G364" i="8" s="1"/>
  <c r="H364" i="8" s="1"/>
  <c r="I364" i="8" s="1"/>
  <c r="J364" i="8" s="1"/>
  <c r="D371" i="8"/>
  <c r="G371" i="8" s="1"/>
  <c r="H371" i="8" s="1"/>
  <c r="I371" i="8" s="1"/>
  <c r="J371" i="8" s="1"/>
  <c r="E233" i="4"/>
  <c r="D380" i="8"/>
  <c r="G380" i="8" s="1"/>
  <c r="H380" i="8" s="1"/>
  <c r="I380" i="8" s="1"/>
  <c r="J380" i="8" s="1"/>
  <c r="D352" i="8"/>
  <c r="G352" i="8" s="1"/>
  <c r="H352" i="8" s="1"/>
  <c r="I352" i="8" s="1"/>
  <c r="J352" i="8" s="1"/>
  <c r="D372" i="8"/>
  <c r="G372" i="8" s="1"/>
  <c r="H372" i="8" s="1"/>
  <c r="I372" i="8" s="1"/>
  <c r="J372" i="8" s="1"/>
  <c r="D349" i="8"/>
  <c r="G349" i="8" s="1"/>
  <c r="H349" i="8" s="1"/>
  <c r="I349" i="8" s="1"/>
  <c r="J349" i="8" s="1"/>
  <c r="O272" i="5"/>
  <c r="N272" i="5"/>
  <c r="Q296" i="2"/>
  <c r="Q310" i="2"/>
  <c r="X310" i="2"/>
  <c r="O269" i="5"/>
  <c r="N269" i="5"/>
  <c r="O270" i="5"/>
  <c r="N270" i="5"/>
  <c r="O266" i="5"/>
  <c r="N266" i="5"/>
  <c r="Q308" i="2"/>
  <c r="O261" i="5"/>
  <c r="N261" i="5"/>
  <c r="X313" i="2"/>
  <c r="Q313" i="2"/>
  <c r="O124" i="5"/>
  <c r="N124" i="5"/>
  <c r="O114" i="5"/>
  <c r="N114" i="5"/>
  <c r="E1164" i="4"/>
  <c r="E1203" i="4"/>
  <c r="D716" i="4"/>
  <c r="D677" i="4"/>
  <c r="D472" i="4"/>
  <c r="D433" i="4"/>
  <c r="D688" i="4"/>
  <c r="D727" i="4"/>
  <c r="D1670" i="4"/>
  <c r="D1709" i="4"/>
  <c r="E1183" i="4"/>
  <c r="E1222" i="4"/>
  <c r="D1675" i="4"/>
  <c r="D1714" i="4"/>
  <c r="E1679" i="4"/>
  <c r="E1718" i="4"/>
  <c r="D736" i="4"/>
  <c r="D697" i="4"/>
  <c r="E931" i="4"/>
  <c r="E970" i="4"/>
  <c r="E481" i="4"/>
  <c r="E442" i="4"/>
  <c r="E1179" i="4"/>
  <c r="E1218" i="4"/>
  <c r="E1671" i="4"/>
  <c r="E1710" i="4"/>
  <c r="D1182" i="4"/>
  <c r="D1221" i="4"/>
  <c r="E487" i="4"/>
  <c r="E448" i="4"/>
  <c r="D1421" i="4"/>
  <c r="D1460" i="4"/>
  <c r="E1175" i="4"/>
  <c r="E1214" i="4"/>
  <c r="E232" i="4"/>
  <c r="E194" i="4"/>
  <c r="D482" i="4"/>
  <c r="D443" i="4"/>
  <c r="D690" i="4"/>
  <c r="D729" i="4"/>
  <c r="D1180" i="4"/>
  <c r="D1219" i="4"/>
  <c r="E935" i="4"/>
  <c r="E974" i="4"/>
  <c r="D733" i="4"/>
  <c r="D694" i="4"/>
  <c r="E939" i="4"/>
  <c r="E978" i="4"/>
  <c r="D489" i="4"/>
  <c r="D450" i="4"/>
  <c r="C376" i="3"/>
  <c r="D376" i="3" s="1"/>
  <c r="E376" i="3" s="1"/>
  <c r="F376" i="3" s="1"/>
  <c r="C386" i="3"/>
  <c r="D386" i="3" s="1"/>
  <c r="E386" i="3" s="1"/>
  <c r="F386" i="3" s="1"/>
  <c r="C334" i="3"/>
  <c r="D334" i="3" s="1"/>
  <c r="E334" i="3" s="1"/>
  <c r="F334" i="3" s="1"/>
  <c r="C390" i="3"/>
  <c r="D390" i="3" s="1"/>
  <c r="E390" i="3" s="1"/>
  <c r="F390" i="3" s="1"/>
  <c r="C345" i="3"/>
  <c r="D345" i="3" s="1"/>
  <c r="E345" i="3" s="1"/>
  <c r="F345" i="3" s="1"/>
  <c r="C373" i="3"/>
  <c r="D373" i="3" s="1"/>
  <c r="E373" i="3" s="1"/>
  <c r="F373" i="3" s="1"/>
  <c r="C353" i="3"/>
  <c r="D353" i="3" s="1"/>
  <c r="E353" i="3" s="1"/>
  <c r="F353" i="3" s="1"/>
  <c r="B191" i="5"/>
  <c r="C191" i="5" s="1"/>
  <c r="D191" i="5" s="1"/>
  <c r="C37" i="5"/>
  <c r="D37" i="5" s="1"/>
  <c r="C26" i="5"/>
  <c r="D26" i="5" s="1"/>
  <c r="B180" i="5"/>
  <c r="C180" i="5" s="1"/>
  <c r="D180" i="5" s="1"/>
  <c r="F296" i="4"/>
  <c r="I296" i="4" s="1"/>
  <c r="L296" i="4" s="1"/>
  <c r="C412" i="4" s="1"/>
  <c r="J448" i="4" s="1"/>
  <c r="D296" i="4"/>
  <c r="D1279" i="4"/>
  <c r="F1279" i="4"/>
  <c r="I1279" i="4" s="1"/>
  <c r="L1279" i="4" s="1"/>
  <c r="C1392" i="4" s="1"/>
  <c r="J1428" i="4" s="1"/>
  <c r="F788" i="4"/>
  <c r="I788" i="4" s="1"/>
  <c r="L788" i="4" s="1"/>
  <c r="C901" i="4" s="1"/>
  <c r="J937" i="4" s="1"/>
  <c r="D788" i="4"/>
  <c r="E1170" i="4"/>
  <c r="E1209" i="4"/>
  <c r="D1415" i="4"/>
  <c r="D1454" i="4"/>
  <c r="E941" i="4"/>
  <c r="E980" i="4"/>
  <c r="D491" i="4"/>
  <c r="D452" i="4"/>
  <c r="C356" i="3"/>
  <c r="D356" i="3" s="1"/>
  <c r="E356" i="3" s="1"/>
  <c r="F356" i="3" s="1"/>
  <c r="C383" i="3"/>
  <c r="D383" i="3" s="1"/>
  <c r="E383" i="3" s="1"/>
  <c r="F383" i="3" s="1"/>
  <c r="C375" i="3"/>
  <c r="D375" i="3" s="1"/>
  <c r="E375" i="3" s="1"/>
  <c r="F375" i="3" s="1"/>
  <c r="C391" i="3"/>
  <c r="D391" i="3" s="1"/>
  <c r="E391" i="3" s="1"/>
  <c r="F391" i="3" s="1"/>
  <c r="C329" i="3"/>
  <c r="D329" i="3" s="1"/>
  <c r="E329" i="3" s="1"/>
  <c r="F329" i="3" s="1"/>
  <c r="F35" i="4"/>
  <c r="I35" i="4" s="1"/>
  <c r="L35" i="4" s="1"/>
  <c r="C147" i="4" s="1"/>
  <c r="J184" i="4" s="1"/>
  <c r="D35" i="4"/>
  <c r="D281" i="4"/>
  <c r="F281" i="4"/>
  <c r="I281" i="4" s="1"/>
  <c r="L281" i="4" s="1"/>
  <c r="C397" i="4" s="1"/>
  <c r="J433" i="4" s="1"/>
  <c r="D1264" i="4"/>
  <c r="F1264" i="4"/>
  <c r="I1264" i="4" s="1"/>
  <c r="L1264" i="4" s="1"/>
  <c r="C1377" i="4" s="1"/>
  <c r="J1413" i="4" s="1"/>
  <c r="D29" i="4"/>
  <c r="F29" i="4"/>
  <c r="I29" i="4" s="1"/>
  <c r="L29" i="4" s="1"/>
  <c r="C141" i="4" s="1"/>
  <c r="J178" i="4" s="1"/>
  <c r="F760" i="4"/>
  <c r="I760" i="4" s="1"/>
  <c r="L760" i="4" s="1"/>
  <c r="C873" i="4" s="1"/>
  <c r="J909" i="4" s="1"/>
  <c r="D760" i="4"/>
  <c r="F515" i="4"/>
  <c r="I515" i="4" s="1"/>
  <c r="L515" i="4" s="1"/>
  <c r="C628" i="4" s="1"/>
  <c r="J664" i="4" s="1"/>
  <c r="D515" i="4"/>
  <c r="D1497" i="4"/>
  <c r="F1497" i="4"/>
  <c r="I1497" i="4" s="1"/>
  <c r="L1497" i="4" s="1"/>
  <c r="C1610" i="4" s="1"/>
  <c r="F1254" i="4"/>
  <c r="I1254" i="4" s="1"/>
  <c r="L1254" i="4" s="1"/>
  <c r="C1367" i="4" s="1"/>
  <c r="J1403" i="4" s="1"/>
  <c r="D1254" i="4"/>
  <c r="D25" i="4"/>
  <c r="F25" i="4"/>
  <c r="I25" i="4" s="1"/>
  <c r="L25" i="4" s="1"/>
  <c r="C137" i="4" s="1"/>
  <c r="J174" i="4" s="1"/>
  <c r="D1500" i="4"/>
  <c r="F1500" i="4"/>
  <c r="I1500" i="4" s="1"/>
  <c r="L1500" i="4" s="1"/>
  <c r="C1613" i="4" s="1"/>
  <c r="J1649" i="4" s="1"/>
  <c r="F535" i="4"/>
  <c r="I535" i="4" s="1"/>
  <c r="L535" i="4" s="1"/>
  <c r="C648" i="4" s="1"/>
  <c r="J684" i="4" s="1"/>
  <c r="D535" i="4"/>
  <c r="F1517" i="4"/>
  <c r="I1517" i="4" s="1"/>
  <c r="L1517" i="4" s="1"/>
  <c r="C1630" i="4" s="1"/>
  <c r="J1666" i="4" s="1"/>
  <c r="D1517" i="4"/>
  <c r="F780" i="4"/>
  <c r="I780" i="4" s="1"/>
  <c r="L780" i="4" s="1"/>
  <c r="C893" i="4" s="1"/>
  <c r="J929" i="4" s="1"/>
  <c r="D780" i="4"/>
  <c r="D1529" i="4"/>
  <c r="F1529" i="4"/>
  <c r="I1529" i="4" s="1"/>
  <c r="L1529" i="4" s="1"/>
  <c r="C1642" i="4" s="1"/>
  <c r="J1678" i="4" s="1"/>
  <c r="D54" i="4"/>
  <c r="F54" i="4"/>
  <c r="I54" i="4" s="1"/>
  <c r="L54" i="4" s="1"/>
  <c r="C166" i="4" s="1"/>
  <c r="J203" i="4" s="1"/>
  <c r="D792" i="4"/>
  <c r="F792" i="4"/>
  <c r="I792" i="4" s="1"/>
  <c r="L792" i="4" s="1"/>
  <c r="C905" i="4" s="1"/>
  <c r="J941" i="4" s="1"/>
  <c r="F771" i="4"/>
  <c r="I771" i="4" s="1"/>
  <c r="L771" i="4" s="1"/>
  <c r="C884" i="4" s="1"/>
  <c r="J920" i="4" s="1"/>
  <c r="D771" i="4"/>
  <c r="F526" i="4"/>
  <c r="I526" i="4" s="1"/>
  <c r="L526" i="4" s="1"/>
  <c r="C639" i="4" s="1"/>
  <c r="J675" i="4" s="1"/>
  <c r="D526" i="4"/>
  <c r="F33" i="4"/>
  <c r="I33" i="4" s="1"/>
  <c r="L33" i="4" s="1"/>
  <c r="C145" i="4" s="1"/>
  <c r="J182" i="4" s="1"/>
  <c r="D33" i="4"/>
  <c r="F789" i="4"/>
  <c r="I789" i="4" s="1"/>
  <c r="L789" i="4" s="1"/>
  <c r="C902" i="4" s="1"/>
  <c r="J938" i="4" s="1"/>
  <c r="D789" i="4"/>
  <c r="D525" i="4"/>
  <c r="F525" i="4"/>
  <c r="I525" i="4" s="1"/>
  <c r="L525" i="4" s="1"/>
  <c r="C638" i="4" s="1"/>
  <c r="J674" i="4" s="1"/>
  <c r="F770" i="4"/>
  <c r="I770" i="4" s="1"/>
  <c r="L770" i="4" s="1"/>
  <c r="C883" i="4" s="1"/>
  <c r="J919" i="4" s="1"/>
  <c r="D770" i="4"/>
  <c r="F1507" i="4"/>
  <c r="I1507" i="4" s="1"/>
  <c r="L1507" i="4" s="1"/>
  <c r="C1620" i="4" s="1"/>
  <c r="J1656" i="4" s="1"/>
  <c r="D1507" i="4"/>
  <c r="D783" i="4"/>
  <c r="F783" i="4"/>
  <c r="I783" i="4" s="1"/>
  <c r="L783" i="4" s="1"/>
  <c r="C896" i="4" s="1"/>
  <c r="J932" i="4" s="1"/>
  <c r="D34" i="4"/>
  <c r="F34" i="4"/>
  <c r="I34" i="4" s="1"/>
  <c r="L34" i="4" s="1"/>
  <c r="C146" i="4" s="1"/>
  <c r="J183" i="4" s="1"/>
  <c r="D280" i="4"/>
  <c r="F280" i="4"/>
  <c r="I280" i="4" s="1"/>
  <c r="L280" i="4" s="1"/>
  <c r="C396" i="4" s="1"/>
  <c r="J432" i="4" s="1"/>
  <c r="D772" i="4"/>
  <c r="F772" i="4"/>
  <c r="I772" i="4" s="1"/>
  <c r="L772" i="4" s="1"/>
  <c r="C885" i="4" s="1"/>
  <c r="J921" i="4" s="1"/>
  <c r="D270" i="4"/>
  <c r="F270" i="4"/>
  <c r="I270" i="4" s="1"/>
  <c r="L270" i="4" s="1"/>
  <c r="C386" i="4" s="1"/>
  <c r="J422" i="4" s="1"/>
  <c r="F762" i="4"/>
  <c r="I762" i="4" s="1"/>
  <c r="L762" i="4" s="1"/>
  <c r="C875" i="4" s="1"/>
  <c r="J911" i="4" s="1"/>
  <c r="D762" i="4"/>
  <c r="F517" i="4"/>
  <c r="I517" i="4" s="1"/>
  <c r="L517" i="4" s="1"/>
  <c r="C630" i="4" s="1"/>
  <c r="J666" i="4" s="1"/>
  <c r="D517" i="4"/>
  <c r="D713" i="4"/>
  <c r="D674" i="4"/>
  <c r="E1410" i="4"/>
  <c r="E1449" i="4"/>
  <c r="E219" i="4"/>
  <c r="E181" i="4"/>
  <c r="E1659" i="4"/>
  <c r="E1698" i="4"/>
  <c r="D1178" i="4"/>
  <c r="D1217" i="4"/>
  <c r="E933" i="4"/>
  <c r="E972" i="4"/>
  <c r="D483" i="4"/>
  <c r="D444" i="4"/>
  <c r="E238" i="4"/>
  <c r="E200" i="4"/>
  <c r="D938" i="4"/>
  <c r="D977" i="4"/>
  <c r="D1187" i="4"/>
  <c r="D1226" i="4"/>
  <c r="D725" i="4"/>
  <c r="D686" i="4"/>
  <c r="D934" i="4"/>
  <c r="D973" i="4"/>
  <c r="E1425" i="4"/>
  <c r="E1464" i="4"/>
  <c r="E731" i="4"/>
  <c r="E692" i="4"/>
  <c r="D937" i="4"/>
  <c r="D976" i="4"/>
  <c r="E480" i="4"/>
  <c r="E441" i="4"/>
  <c r="D1177" i="4"/>
  <c r="D1216" i="4"/>
  <c r="E1672" i="4"/>
  <c r="E1711" i="4"/>
  <c r="D1426" i="4"/>
  <c r="D1465" i="4"/>
  <c r="D1184" i="4"/>
  <c r="D1223" i="4"/>
  <c r="C358" i="3"/>
  <c r="D358" i="3" s="1"/>
  <c r="E358" i="3" s="1"/>
  <c r="F358" i="3" s="1"/>
  <c r="C372" i="3"/>
  <c r="D372" i="3" s="1"/>
  <c r="E372" i="3" s="1"/>
  <c r="F372" i="3" s="1"/>
  <c r="C218" i="4"/>
  <c r="J217" i="4" s="1"/>
  <c r="D218" i="4"/>
  <c r="C346" i="3"/>
  <c r="D346" i="3" s="1"/>
  <c r="E346" i="3" s="1"/>
  <c r="F346" i="3" s="1"/>
  <c r="E475" i="4"/>
  <c r="E436" i="4"/>
  <c r="D1169" i="4"/>
  <c r="D1208" i="4"/>
  <c r="D691" i="4"/>
  <c r="D730" i="4"/>
  <c r="D1673" i="4"/>
  <c r="D1712" i="4"/>
  <c r="E486" i="4"/>
  <c r="E447" i="4"/>
  <c r="D1678" i="4"/>
  <c r="D1717" i="4"/>
  <c r="C387" i="3"/>
  <c r="D387" i="3" s="1"/>
  <c r="E387" i="3" s="1"/>
  <c r="F387" i="3" s="1"/>
  <c r="D1416" i="4"/>
  <c r="D1455" i="4"/>
  <c r="D696" i="4"/>
  <c r="D735" i="4"/>
  <c r="D1186" i="4"/>
  <c r="D1225" i="4"/>
  <c r="L6" i="2"/>
  <c r="H41" i="1" s="1"/>
  <c r="B1008" i="4" s="1"/>
  <c r="C1008" i="4" s="1"/>
  <c r="G41" i="1"/>
  <c r="B284" i="4"/>
  <c r="C284" i="4" s="1"/>
  <c r="B776" i="4"/>
  <c r="C776" i="4" s="1"/>
  <c r="C38" i="4"/>
  <c r="B1513" i="4"/>
  <c r="C1513" i="4" s="1"/>
  <c r="B1267" i="4"/>
  <c r="C1267" i="4" s="1"/>
  <c r="B531" i="4"/>
  <c r="C531" i="4" s="1"/>
  <c r="C48" i="4"/>
  <c r="B1277" i="4"/>
  <c r="C1277" i="4" s="1"/>
  <c r="B786" i="4"/>
  <c r="C786" i="4" s="1"/>
  <c r="B1523" i="4"/>
  <c r="C1523" i="4" s="1"/>
  <c r="B541" i="4"/>
  <c r="C541" i="4" s="1"/>
  <c r="B294" i="4"/>
  <c r="C294" i="4" s="1"/>
  <c r="B1252" i="4"/>
  <c r="C1252" i="4" s="1"/>
  <c r="C23" i="4"/>
  <c r="B1498" i="4"/>
  <c r="C1498" i="4" s="1"/>
  <c r="B516" i="4"/>
  <c r="C516" i="4" s="1"/>
  <c r="B269" i="4"/>
  <c r="C269" i="4" s="1"/>
  <c r="B761" i="4"/>
  <c r="C761" i="4" s="1"/>
  <c r="B282" i="4"/>
  <c r="C282" i="4" s="1"/>
  <c r="B1265" i="4"/>
  <c r="C1265" i="4" s="1"/>
  <c r="B529" i="4"/>
  <c r="C529" i="4" s="1"/>
  <c r="C36" i="4"/>
  <c r="B1511" i="4"/>
  <c r="C1511" i="4" s="1"/>
  <c r="B774" i="4"/>
  <c r="C774" i="4" s="1"/>
  <c r="B274" i="4"/>
  <c r="C274" i="4" s="1"/>
  <c r="B521" i="4"/>
  <c r="C521" i="4" s="1"/>
  <c r="B766" i="4"/>
  <c r="C766" i="4" s="1"/>
  <c r="B1503" i="4"/>
  <c r="C1503" i="4" s="1"/>
  <c r="C28" i="4"/>
  <c r="B1257" i="4"/>
  <c r="C1257" i="4" s="1"/>
  <c r="B1268" i="4"/>
  <c r="C1268" i="4" s="1"/>
  <c r="B532" i="4"/>
  <c r="C532" i="4" s="1"/>
  <c r="C39" i="4"/>
  <c r="B777" i="4"/>
  <c r="C777" i="4" s="1"/>
  <c r="B285" i="4"/>
  <c r="C285" i="4" s="1"/>
  <c r="B1514" i="4"/>
  <c r="C1514" i="4" s="1"/>
  <c r="E919" i="4"/>
  <c r="E958" i="4"/>
  <c r="D1656" i="4"/>
  <c r="D1695" i="4"/>
  <c r="E1413" i="4"/>
  <c r="E1452" i="4"/>
  <c r="E1429" i="4"/>
  <c r="E1468" i="4"/>
  <c r="E488" i="4"/>
  <c r="E449" i="4"/>
  <c r="D1433" i="4"/>
  <c r="D1472" i="4"/>
  <c r="D1668" i="4"/>
  <c r="D1707" i="4"/>
  <c r="E1422" i="4"/>
  <c r="E1461" i="4"/>
  <c r="E728" i="4"/>
  <c r="E689" i="4"/>
  <c r="D1428" i="4"/>
  <c r="D1467" i="4"/>
  <c r="E1674" i="4"/>
  <c r="E1713" i="4"/>
  <c r="E1423" i="4"/>
  <c r="E1462" i="4"/>
  <c r="E726" i="4"/>
  <c r="E687" i="4"/>
  <c r="E1676" i="4"/>
  <c r="E1715" i="4"/>
  <c r="B176" i="5"/>
  <c r="C176" i="5" s="1"/>
  <c r="D176" i="5" s="1"/>
  <c r="C22" i="5"/>
  <c r="D22" i="5" s="1"/>
  <c r="B177" i="5"/>
  <c r="C177" i="5" s="1"/>
  <c r="D177" i="5" s="1"/>
  <c r="C23" i="5"/>
  <c r="D23" i="5" s="1"/>
  <c r="B524" i="4"/>
  <c r="C524" i="4" s="1"/>
  <c r="B1260" i="4"/>
  <c r="C1260" i="4" s="1"/>
  <c r="B1506" i="4"/>
  <c r="C1506" i="4" s="1"/>
  <c r="C31" i="4"/>
  <c r="B277" i="4"/>
  <c r="C277" i="4" s="1"/>
  <c r="B769" i="4"/>
  <c r="C769" i="4" s="1"/>
  <c r="C396" i="3"/>
  <c r="D396" i="3" s="1"/>
  <c r="E396" i="3" s="1"/>
  <c r="F396" i="3" s="1"/>
  <c r="C360" i="3"/>
  <c r="D360" i="3" s="1"/>
  <c r="E360" i="3" s="1"/>
  <c r="F360" i="3" s="1"/>
  <c r="C367" i="3"/>
  <c r="D367" i="3" s="1"/>
  <c r="E367" i="3" s="1"/>
  <c r="F367" i="3" s="1"/>
  <c r="C342" i="3"/>
  <c r="D342" i="3" s="1"/>
  <c r="E342" i="3" s="1"/>
  <c r="F342" i="3" s="1"/>
  <c r="C393" i="3"/>
  <c r="D393" i="3" s="1"/>
  <c r="E393" i="3" s="1"/>
  <c r="F393" i="3" s="1"/>
  <c r="C349" i="3"/>
  <c r="D349" i="3" s="1"/>
  <c r="E349" i="3" s="1"/>
  <c r="F349" i="3" s="1"/>
  <c r="C377" i="3"/>
  <c r="D377" i="3" s="1"/>
  <c r="E377" i="3" s="1"/>
  <c r="F377" i="3" s="1"/>
  <c r="C332" i="3"/>
  <c r="D332" i="3" s="1"/>
  <c r="E332" i="3" s="1"/>
  <c r="F332" i="3" s="1"/>
  <c r="B203" i="5"/>
  <c r="C203" i="5" s="1"/>
  <c r="D203" i="5" s="1"/>
  <c r="C49" i="5"/>
  <c r="D49" i="5" s="1"/>
  <c r="C366" i="3"/>
  <c r="D366" i="3" s="1"/>
  <c r="E366" i="3" s="1"/>
  <c r="F366" i="3" s="1"/>
  <c r="D221" i="4"/>
  <c r="E221" i="4"/>
  <c r="C221" i="4"/>
  <c r="J220" i="4" s="1"/>
  <c r="F46" i="5"/>
  <c r="E46" i="5"/>
  <c r="D1662" i="4"/>
  <c r="D1701" i="4"/>
  <c r="D925" i="4"/>
  <c r="D964" i="4"/>
  <c r="E1661" i="4"/>
  <c r="E1700" i="4"/>
  <c r="E474" i="4"/>
  <c r="E435" i="4"/>
  <c r="E1181" i="4"/>
  <c r="E1220" i="4"/>
  <c r="E1427" i="4"/>
  <c r="E1466" i="4"/>
  <c r="E241" i="4"/>
  <c r="E203" i="4"/>
  <c r="D1432" i="4"/>
  <c r="D1471" i="4"/>
  <c r="C388" i="3"/>
  <c r="D388" i="3" s="1"/>
  <c r="E388" i="3" s="1"/>
  <c r="F388" i="3" s="1"/>
  <c r="C343" i="3"/>
  <c r="D343" i="3" s="1"/>
  <c r="E343" i="3" s="1"/>
  <c r="F343" i="3" s="1"/>
  <c r="C371" i="3"/>
  <c r="D371" i="3" s="1"/>
  <c r="E371" i="3" s="1"/>
  <c r="F371" i="3" s="1"/>
  <c r="E25" i="5"/>
  <c r="F25" i="5"/>
  <c r="F172" i="5"/>
  <c r="E172" i="5"/>
  <c r="F21" i="5"/>
  <c r="E21" i="5"/>
  <c r="E38" i="5"/>
  <c r="F38" i="5"/>
  <c r="E50" i="5"/>
  <c r="F50" i="5"/>
  <c r="F183" i="5"/>
  <c r="E183" i="5"/>
  <c r="F33" i="5"/>
  <c r="E33" i="5"/>
  <c r="F47" i="5"/>
  <c r="E47" i="5"/>
  <c r="E28" i="5"/>
  <c r="F28" i="5"/>
  <c r="F30" i="5"/>
  <c r="E30" i="5"/>
  <c r="E174" i="5"/>
  <c r="F174" i="5"/>
  <c r="J374" i="7"/>
  <c r="K374" i="7" s="1"/>
  <c r="G374" i="7"/>
  <c r="H374" i="7" s="1"/>
  <c r="F374" i="7"/>
  <c r="J390" i="7"/>
  <c r="K390" i="7" s="1"/>
  <c r="G390" i="7"/>
  <c r="H390" i="7" s="1"/>
  <c r="F390" i="7"/>
  <c r="J389" i="7"/>
  <c r="K389" i="7" s="1"/>
  <c r="G389" i="7"/>
  <c r="H389" i="7" s="1"/>
  <c r="F389" i="7"/>
  <c r="G376" i="7"/>
  <c r="H376" i="7" s="1"/>
  <c r="J376" i="7"/>
  <c r="K376" i="7" s="1"/>
  <c r="F376" i="7"/>
  <c r="G368" i="7"/>
  <c r="H368" i="7" s="1"/>
  <c r="J368" i="7"/>
  <c r="K368" i="7" s="1"/>
  <c r="F368" i="7"/>
  <c r="L11" i="2"/>
  <c r="H46" i="1" s="1"/>
  <c r="B1013" i="4" s="1"/>
  <c r="C1013" i="4" s="1"/>
  <c r="G46" i="1"/>
  <c r="E469" i="4"/>
  <c r="E430" i="4"/>
  <c r="D1167" i="4"/>
  <c r="D1206" i="4"/>
  <c r="E922" i="4"/>
  <c r="E961" i="4"/>
  <c r="E1424" i="4"/>
  <c r="E1463" i="4"/>
  <c r="D732" i="4"/>
  <c r="D693" i="4"/>
  <c r="D492" i="4"/>
  <c r="D453" i="4"/>
  <c r="D1176" i="4"/>
  <c r="D1215" i="4"/>
  <c r="D231" i="4"/>
  <c r="D193" i="4"/>
  <c r="E234" i="4"/>
  <c r="E196" i="4"/>
  <c r="E237" i="4"/>
  <c r="E199" i="4"/>
  <c r="D930" i="4"/>
  <c r="D969" i="4"/>
  <c r="E724" i="4"/>
  <c r="E685" i="4"/>
  <c r="E1667" i="4"/>
  <c r="E1706" i="4"/>
  <c r="D932" i="4"/>
  <c r="D971" i="4"/>
  <c r="E1669" i="4"/>
  <c r="E1708" i="4"/>
  <c r="D485" i="4"/>
  <c r="D446" i="4"/>
  <c r="E1430" i="4"/>
  <c r="E1469" i="4"/>
  <c r="B293" i="4"/>
  <c r="C293" i="4" s="1"/>
  <c r="B1522" i="4"/>
  <c r="C1522" i="4" s="1"/>
  <c r="B540" i="4"/>
  <c r="C540" i="4" s="1"/>
  <c r="B1276" i="4"/>
  <c r="C1276" i="4" s="1"/>
  <c r="C47" i="4"/>
  <c r="B785" i="4"/>
  <c r="C785" i="4" s="1"/>
  <c r="B295" i="4"/>
  <c r="C295" i="4" s="1"/>
  <c r="B1524" i="4"/>
  <c r="C1524" i="4" s="1"/>
  <c r="B1278" i="4"/>
  <c r="C1278" i="4" s="1"/>
  <c r="B787" i="4"/>
  <c r="C787" i="4" s="1"/>
  <c r="B542" i="4"/>
  <c r="C542" i="4" s="1"/>
  <c r="C49" i="4"/>
  <c r="B1515" i="4"/>
  <c r="C1515" i="4" s="1"/>
  <c r="B533" i="4"/>
  <c r="C533" i="4" s="1"/>
  <c r="B778" i="4"/>
  <c r="C778" i="4" s="1"/>
  <c r="C40" i="4"/>
  <c r="B286" i="4"/>
  <c r="C286" i="4" s="1"/>
  <c r="B1269" i="4"/>
  <c r="C1269" i="4" s="1"/>
  <c r="C380" i="3"/>
  <c r="D380" i="3" s="1"/>
  <c r="E380" i="3" s="1"/>
  <c r="F380" i="3" s="1"/>
  <c r="E719" i="4"/>
  <c r="E680" i="4"/>
  <c r="E718" i="4"/>
  <c r="E679" i="4"/>
  <c r="D924" i="4"/>
  <c r="D963" i="4"/>
  <c r="E936" i="4"/>
  <c r="E975" i="4"/>
  <c r="I76" i="1"/>
  <c r="K43" i="7"/>
  <c r="I364" i="7"/>
  <c r="L364" i="7" s="1"/>
  <c r="I383" i="7"/>
  <c r="L383" i="7" s="1"/>
  <c r="I87" i="1"/>
  <c r="K54" i="7"/>
  <c r="I375" i="7"/>
  <c r="L375" i="7" s="1"/>
  <c r="I361" i="7"/>
  <c r="L361" i="7" s="1"/>
  <c r="M319" i="2"/>
  <c r="O319" i="2" s="1"/>
  <c r="R319" i="2" s="1"/>
  <c r="E222" i="4"/>
  <c r="D232" i="4"/>
  <c r="D379" i="8"/>
  <c r="G379" i="8" s="1"/>
  <c r="H379" i="8" s="1"/>
  <c r="I379" i="8" s="1"/>
  <c r="J379" i="8" s="1"/>
  <c r="D356" i="8"/>
  <c r="G356" i="8" s="1"/>
  <c r="H356" i="8" s="1"/>
  <c r="I356" i="8" s="1"/>
  <c r="J356" i="8" s="1"/>
  <c r="D366" i="8"/>
  <c r="G366" i="8" s="1"/>
  <c r="H366" i="8" s="1"/>
  <c r="I366" i="8" s="1"/>
  <c r="J366" i="8" s="1"/>
  <c r="D353" i="8"/>
  <c r="G353" i="8" s="1"/>
  <c r="H353" i="8" s="1"/>
  <c r="I353" i="8" s="1"/>
  <c r="J353" i="8" s="1"/>
  <c r="D368" i="8"/>
  <c r="G368" i="8" s="1"/>
  <c r="H368" i="8" s="1"/>
  <c r="I368" i="8" s="1"/>
  <c r="J368" i="8" s="1"/>
  <c r="D373" i="8"/>
  <c r="G373" i="8" s="1"/>
  <c r="H373" i="8" s="1"/>
  <c r="I373" i="8" s="1"/>
  <c r="J373" i="8" s="1"/>
  <c r="D367" i="8"/>
  <c r="G367" i="8" s="1"/>
  <c r="H367" i="8" s="1"/>
  <c r="I367" i="8" s="1"/>
  <c r="J367" i="8" s="1"/>
  <c r="D376" i="8"/>
  <c r="G376" i="8" s="1"/>
  <c r="H376" i="8" s="1"/>
  <c r="I376" i="8" s="1"/>
  <c r="J376" i="8" s="1"/>
  <c r="D363" i="8"/>
  <c r="G363" i="8" s="1"/>
  <c r="H363" i="8" s="1"/>
  <c r="I363" i="8" s="1"/>
  <c r="J363" i="8" s="1"/>
  <c r="D375" i="8"/>
  <c r="G375" i="8" s="1"/>
  <c r="H375" i="8" s="1"/>
  <c r="I375" i="8" s="1"/>
  <c r="J375" i="8" s="1"/>
  <c r="D359" i="8"/>
  <c r="G359" i="8" s="1"/>
  <c r="H359" i="8" s="1"/>
  <c r="I359" i="8" s="1"/>
  <c r="J359" i="8" s="1"/>
  <c r="D355" i="8"/>
  <c r="G355" i="8" s="1"/>
  <c r="H355" i="8" s="1"/>
  <c r="I355" i="8" s="1"/>
  <c r="J355" i="8" s="1"/>
  <c r="E218" i="4"/>
  <c r="D230" i="4"/>
  <c r="M325" i="2"/>
  <c r="O325" i="2" s="1"/>
  <c r="D358" i="8"/>
  <c r="G358" i="8" s="1"/>
  <c r="H358" i="8" s="1"/>
  <c r="I358" i="8" s="1"/>
  <c r="J358" i="8" s="1"/>
  <c r="E212" i="4"/>
  <c r="D233" i="4"/>
  <c r="L234" i="6"/>
  <c r="F530" i="4" l="1"/>
  <c r="I530" i="4" s="1"/>
  <c r="L530" i="4" s="1"/>
  <c r="C643" i="4" s="1"/>
  <c r="J679" i="4" s="1"/>
  <c r="D1504" i="4"/>
  <c r="M66" i="2"/>
  <c r="F37" i="4"/>
  <c r="I37" i="4" s="1"/>
  <c r="L37" i="4" s="1"/>
  <c r="C149" i="4" s="1"/>
  <c r="J186" i="4" s="1"/>
  <c r="F1512" i="4"/>
  <c r="I1512" i="4" s="1"/>
  <c r="L1512" i="4" s="1"/>
  <c r="C1625" i="4" s="1"/>
  <c r="J1661" i="4" s="1"/>
  <c r="L9" i="2"/>
  <c r="H44" i="1" s="1"/>
  <c r="B1011" i="4" s="1"/>
  <c r="C1011" i="4" s="1"/>
  <c r="F1011" i="4" s="1"/>
  <c r="I1011" i="4" s="1"/>
  <c r="L1011" i="4" s="1"/>
  <c r="C1124" i="4" s="1"/>
  <c r="J1160" i="4" s="1"/>
  <c r="D1258" i="4"/>
  <c r="G1258" i="4" s="1"/>
  <c r="J1258" i="4" s="1"/>
  <c r="M1258" i="4" s="1"/>
  <c r="D1371" i="4" s="1"/>
  <c r="G45" i="1"/>
  <c r="F1274" i="4"/>
  <c r="I1274" i="4" s="1"/>
  <c r="L1274" i="4" s="1"/>
  <c r="C1387" i="4" s="1"/>
  <c r="J1423" i="4" s="1"/>
  <c r="F775" i="4"/>
  <c r="I775" i="4" s="1"/>
  <c r="L775" i="4" s="1"/>
  <c r="C888" i="4" s="1"/>
  <c r="J924" i="4" s="1"/>
  <c r="C42" i="5"/>
  <c r="D42" i="5" s="1"/>
  <c r="E42" i="5" s="1"/>
  <c r="M67" i="2"/>
  <c r="F767" i="4"/>
  <c r="I767" i="4" s="1"/>
  <c r="L767" i="4" s="1"/>
  <c r="C880" i="4" s="1"/>
  <c r="J916" i="4" s="1"/>
  <c r="D538" i="4"/>
  <c r="G538" i="4" s="1"/>
  <c r="J538" i="4" s="1"/>
  <c r="M538" i="4" s="1"/>
  <c r="D651" i="4" s="1"/>
  <c r="L7" i="2"/>
  <c r="H42" i="1" s="1"/>
  <c r="B1009" i="4" s="1"/>
  <c r="C1009" i="4" s="1"/>
  <c r="D1009" i="4" s="1"/>
  <c r="F45" i="4"/>
  <c r="I45" i="4" s="1"/>
  <c r="L45" i="4" s="1"/>
  <c r="C157" i="4" s="1"/>
  <c r="J194" i="4" s="1"/>
  <c r="E31" i="5"/>
  <c r="G31" i="5" s="1"/>
  <c r="B105" i="5" s="1"/>
  <c r="D105" i="5" s="1"/>
  <c r="F283" i="4"/>
  <c r="I283" i="4" s="1"/>
  <c r="L283" i="4" s="1"/>
  <c r="C399" i="4" s="1"/>
  <c r="J435" i="4" s="1"/>
  <c r="F1520" i="4"/>
  <c r="I1520" i="4" s="1"/>
  <c r="L1520" i="4" s="1"/>
  <c r="C1633" i="4" s="1"/>
  <c r="J1669" i="4" s="1"/>
  <c r="F195" i="5"/>
  <c r="G195" i="5" s="1"/>
  <c r="B269" i="5" s="1"/>
  <c r="D269" i="5" s="1"/>
  <c r="F544" i="4"/>
  <c r="I544" i="4" s="1"/>
  <c r="L544" i="4" s="1"/>
  <c r="C657" i="4" s="1"/>
  <c r="J693" i="4" s="1"/>
  <c r="F175" i="5"/>
  <c r="G175" i="5" s="1"/>
  <c r="B249" i="5" s="1"/>
  <c r="D249" i="5" s="1"/>
  <c r="F291" i="4"/>
  <c r="I291" i="4" s="1"/>
  <c r="L291" i="4" s="1"/>
  <c r="C407" i="4" s="1"/>
  <c r="J443" i="4" s="1"/>
  <c r="C41" i="5"/>
  <c r="D41" i="5" s="1"/>
  <c r="E41" i="5" s="1"/>
  <c r="F18" i="5"/>
  <c r="G18" i="5" s="1"/>
  <c r="B92" i="5" s="1"/>
  <c r="D92" i="5" s="1"/>
  <c r="F1280" i="4"/>
  <c r="I1280" i="4" s="1"/>
  <c r="L1280" i="4" s="1"/>
  <c r="C1393" i="4" s="1"/>
  <c r="J1429" i="4" s="1"/>
  <c r="F297" i="4"/>
  <c r="I297" i="4" s="1"/>
  <c r="L297" i="4" s="1"/>
  <c r="C413" i="4" s="1"/>
  <c r="J449" i="4" s="1"/>
  <c r="T317" i="2"/>
  <c r="W317" i="2" s="1"/>
  <c r="F51" i="4"/>
  <c r="I51" i="4" s="1"/>
  <c r="L51" i="4" s="1"/>
  <c r="C163" i="4" s="1"/>
  <c r="J200" i="4" s="1"/>
  <c r="R317" i="2"/>
  <c r="U317" i="2" s="1"/>
  <c r="K63" i="2" s="1"/>
  <c r="L63" i="2" s="1"/>
  <c r="F1526" i="4"/>
  <c r="I1526" i="4" s="1"/>
  <c r="L1526" i="4" s="1"/>
  <c r="C1639" i="4" s="1"/>
  <c r="J1675" i="4" s="1"/>
  <c r="N88" i="6"/>
  <c r="R314" i="2"/>
  <c r="V314" i="2" s="1"/>
  <c r="T324" i="2"/>
  <c r="W324" i="2" s="1"/>
  <c r="T323" i="2"/>
  <c r="W323" i="2" s="1"/>
  <c r="T322" i="2"/>
  <c r="W322" i="2" s="1"/>
  <c r="T319" i="2"/>
  <c r="W319" i="2" s="1"/>
  <c r="B536" i="4"/>
  <c r="C536" i="4" s="1"/>
  <c r="C43" i="4"/>
  <c r="B1518" i="4"/>
  <c r="C1518" i="4" s="1"/>
  <c r="B781" i="4"/>
  <c r="C781" i="4" s="1"/>
  <c r="B289" i="4"/>
  <c r="C289" i="4" s="1"/>
  <c r="B1272" i="4"/>
  <c r="C1272" i="4" s="1"/>
  <c r="T326" i="2"/>
  <c r="W326" i="2" s="1"/>
  <c r="M62" i="2"/>
  <c r="B193" i="5"/>
  <c r="C193" i="5" s="1"/>
  <c r="D193" i="5" s="1"/>
  <c r="C39" i="5"/>
  <c r="D39" i="5" s="1"/>
  <c r="R312" i="2"/>
  <c r="U312" i="2" s="1"/>
  <c r="K58" i="2" s="1"/>
  <c r="R313" i="2"/>
  <c r="U313" i="2" s="1"/>
  <c r="K59" i="2" s="1"/>
  <c r="B202" i="5"/>
  <c r="C202" i="5" s="1"/>
  <c r="D202" i="5" s="1"/>
  <c r="C48" i="5"/>
  <c r="D48" i="5" s="1"/>
  <c r="B1281" i="4"/>
  <c r="C1281" i="4" s="1"/>
  <c r="B1527" i="4"/>
  <c r="C1527" i="4" s="1"/>
  <c r="B298" i="4"/>
  <c r="C298" i="4" s="1"/>
  <c r="B790" i="4"/>
  <c r="C790" i="4" s="1"/>
  <c r="C52" i="4"/>
  <c r="B545" i="4"/>
  <c r="C545" i="4" s="1"/>
  <c r="T315" i="2"/>
  <c r="W315" i="2" s="1"/>
  <c r="C40" i="5"/>
  <c r="D40" i="5" s="1"/>
  <c r="B194" i="5"/>
  <c r="C194" i="5" s="1"/>
  <c r="D194" i="5" s="1"/>
  <c r="R325" i="2"/>
  <c r="U325" i="2" s="1"/>
  <c r="K71" i="2" s="1"/>
  <c r="L71" i="2" s="1"/>
  <c r="R310" i="2"/>
  <c r="U310" i="2" s="1"/>
  <c r="K56" i="2" s="1"/>
  <c r="B290" i="4"/>
  <c r="C290" i="4" s="1"/>
  <c r="B1519" i="4"/>
  <c r="C1519" i="4" s="1"/>
  <c r="B782" i="4"/>
  <c r="C782" i="4" s="1"/>
  <c r="C44" i="4"/>
  <c r="B537" i="4"/>
  <c r="C537" i="4" s="1"/>
  <c r="B1273" i="4"/>
  <c r="C1273" i="4" s="1"/>
  <c r="J171" i="4"/>
  <c r="U340" i="2"/>
  <c r="K88" i="2" s="1"/>
  <c r="V340" i="2"/>
  <c r="Q270" i="2"/>
  <c r="R270" i="2" s="1"/>
  <c r="X270" i="2"/>
  <c r="S272" i="2"/>
  <c r="S342" i="2"/>
  <c r="P342" i="2" s="1"/>
  <c r="P271" i="2"/>
  <c r="V269" i="2"/>
  <c r="U269" i="2"/>
  <c r="K13" i="2" s="1"/>
  <c r="G184" i="5"/>
  <c r="B258" i="5" s="1"/>
  <c r="D258" i="5" s="1"/>
  <c r="G182" i="5"/>
  <c r="B256" i="5" s="1"/>
  <c r="D256" i="5" s="1"/>
  <c r="G201" i="5"/>
  <c r="B275" i="5" s="1"/>
  <c r="D275" i="5" s="1"/>
  <c r="G192" i="5"/>
  <c r="B266" i="5" s="1"/>
  <c r="D266" i="5" s="1"/>
  <c r="G185" i="5"/>
  <c r="B259" i="5" s="1"/>
  <c r="D259" i="5" s="1"/>
  <c r="G200" i="5"/>
  <c r="B274" i="5" s="1"/>
  <c r="D274" i="5" s="1"/>
  <c r="M367" i="7"/>
  <c r="L46" i="7" s="1"/>
  <c r="J79" i="1" s="1"/>
  <c r="B65" i="4" s="1"/>
  <c r="M88" i="2"/>
  <c r="T340" i="2"/>
  <c r="W340" i="2" s="1"/>
  <c r="L87" i="2"/>
  <c r="H117" i="1" s="1"/>
  <c r="G117" i="1"/>
  <c r="Q341" i="2"/>
  <c r="R341" i="2" s="1"/>
  <c r="X341" i="2"/>
  <c r="M13" i="2"/>
  <c r="T269" i="2"/>
  <c r="W269" i="2" s="1"/>
  <c r="M361" i="7"/>
  <c r="L40" i="7" s="1"/>
  <c r="J73" i="1" s="1"/>
  <c r="J18" i="5" s="1"/>
  <c r="M375" i="7"/>
  <c r="L54" i="7" s="1"/>
  <c r="J87" i="1" s="1"/>
  <c r="B73" i="4" s="1"/>
  <c r="M383" i="7"/>
  <c r="L62" i="7" s="1"/>
  <c r="J95" i="1" s="1"/>
  <c r="B81" i="4" s="1"/>
  <c r="M364" i="7"/>
  <c r="L43" i="7" s="1"/>
  <c r="J76" i="1" s="1"/>
  <c r="J21" i="5" s="1"/>
  <c r="G174" i="5"/>
  <c r="B248" i="5" s="1"/>
  <c r="D248" i="5" s="1"/>
  <c r="G28" i="5"/>
  <c r="B102" i="5" s="1"/>
  <c r="D102" i="5" s="1"/>
  <c r="G50" i="5"/>
  <c r="B124" i="5" s="1"/>
  <c r="D124" i="5" s="1"/>
  <c r="G38" i="5"/>
  <c r="B112" i="5" s="1"/>
  <c r="D112" i="5" s="1"/>
  <c r="G25" i="5"/>
  <c r="B99" i="5" s="1"/>
  <c r="D99" i="5" s="1"/>
  <c r="U319" i="2"/>
  <c r="K65" i="2" s="1"/>
  <c r="L65" i="2" s="1"/>
  <c r="V319" i="2"/>
  <c r="K55" i="3"/>
  <c r="G343" i="3"/>
  <c r="M55" i="3" s="1"/>
  <c r="G349" i="3"/>
  <c r="M61" i="3" s="1"/>
  <c r="K61" i="3"/>
  <c r="K80" i="3"/>
  <c r="L80" i="3" s="1"/>
  <c r="G367" i="3"/>
  <c r="M80" i="3" s="1"/>
  <c r="G375" i="3"/>
  <c r="M88" i="3" s="1"/>
  <c r="K88" i="3"/>
  <c r="L88" i="3" s="1"/>
  <c r="G353" i="3"/>
  <c r="M65" i="3" s="1"/>
  <c r="K65" i="3"/>
  <c r="G334" i="3"/>
  <c r="M46" i="3" s="1"/>
  <c r="K46" i="3"/>
  <c r="K87" i="3"/>
  <c r="L87" i="3" s="1"/>
  <c r="G374" i="3"/>
  <c r="M87" i="3" s="1"/>
  <c r="G368" i="3"/>
  <c r="M81" i="3" s="1"/>
  <c r="K81" i="3"/>
  <c r="L81" i="3" s="1"/>
  <c r="G378" i="3"/>
  <c r="M91" i="3" s="1"/>
  <c r="K91" i="3"/>
  <c r="L91" i="3" s="1"/>
  <c r="G382" i="3"/>
  <c r="M95" i="3" s="1"/>
  <c r="K95" i="3"/>
  <c r="L95" i="3" s="1"/>
  <c r="G394" i="3"/>
  <c r="M107" i="3" s="1"/>
  <c r="K107" i="3"/>
  <c r="L107" i="3" s="1"/>
  <c r="G365" i="3"/>
  <c r="M78" i="3" s="1"/>
  <c r="K78" i="3"/>
  <c r="L78" i="3" s="1"/>
  <c r="G392" i="3"/>
  <c r="M105" i="3" s="1"/>
  <c r="K105" i="3"/>
  <c r="L105" i="3" s="1"/>
  <c r="G381" i="3"/>
  <c r="M94" i="3" s="1"/>
  <c r="K94" i="3"/>
  <c r="L94" i="3" s="1"/>
  <c r="K52" i="3"/>
  <c r="G340" i="3"/>
  <c r="M52" i="3" s="1"/>
  <c r="G388" i="3"/>
  <c r="M101" i="3" s="1"/>
  <c r="K101" i="3"/>
  <c r="L101" i="3" s="1"/>
  <c r="G366" i="3"/>
  <c r="M79" i="3" s="1"/>
  <c r="K79" i="3"/>
  <c r="L79" i="3" s="1"/>
  <c r="G342" i="3"/>
  <c r="M54" i="3" s="1"/>
  <c r="K54" i="3"/>
  <c r="G360" i="3"/>
  <c r="M72" i="3" s="1"/>
  <c r="K72" i="3"/>
  <c r="G383" i="3"/>
  <c r="M96" i="3" s="1"/>
  <c r="K96" i="3"/>
  <c r="L96" i="3" s="1"/>
  <c r="K86" i="3"/>
  <c r="L86" i="3" s="1"/>
  <c r="G373" i="3"/>
  <c r="M86" i="3" s="1"/>
  <c r="G341" i="3"/>
  <c r="M53" i="3" s="1"/>
  <c r="K53" i="3"/>
  <c r="G331" i="3"/>
  <c r="M43" i="3" s="1"/>
  <c r="K43" i="3"/>
  <c r="G359" i="3"/>
  <c r="M71" i="3" s="1"/>
  <c r="K71" i="3"/>
  <c r="G355" i="3"/>
  <c r="M67" i="3" s="1"/>
  <c r="K67" i="3"/>
  <c r="K49" i="3"/>
  <c r="G337" i="3"/>
  <c r="M49" i="3" s="1"/>
  <c r="K62" i="3"/>
  <c r="G350" i="3"/>
  <c r="M62" i="3" s="1"/>
  <c r="U316" i="2"/>
  <c r="K62" i="2" s="1"/>
  <c r="V316" i="2"/>
  <c r="G380" i="3"/>
  <c r="M93" i="3" s="1"/>
  <c r="K93" i="3"/>
  <c r="L93" i="3" s="1"/>
  <c r="D1269" i="4"/>
  <c r="F1269" i="4"/>
  <c r="I1269" i="4" s="1"/>
  <c r="L1269" i="4" s="1"/>
  <c r="C1382" i="4" s="1"/>
  <c r="J1418" i="4" s="1"/>
  <c r="F40" i="4"/>
  <c r="I40" i="4" s="1"/>
  <c r="L40" i="4" s="1"/>
  <c r="C152" i="4" s="1"/>
  <c r="J189" i="4" s="1"/>
  <c r="D40" i="4"/>
  <c r="F533" i="4"/>
  <c r="I533" i="4" s="1"/>
  <c r="L533" i="4" s="1"/>
  <c r="C646" i="4" s="1"/>
  <c r="J682" i="4" s="1"/>
  <c r="D533" i="4"/>
  <c r="D49" i="4"/>
  <c r="F49" i="4"/>
  <c r="I49" i="4" s="1"/>
  <c r="L49" i="4" s="1"/>
  <c r="C161" i="4" s="1"/>
  <c r="J198" i="4" s="1"/>
  <c r="F787" i="4"/>
  <c r="I787" i="4" s="1"/>
  <c r="L787" i="4" s="1"/>
  <c r="C900" i="4" s="1"/>
  <c r="J936" i="4" s="1"/>
  <c r="D787" i="4"/>
  <c r="D1524" i="4"/>
  <c r="F1524" i="4"/>
  <c r="I1524" i="4" s="1"/>
  <c r="L1524" i="4" s="1"/>
  <c r="C1637" i="4" s="1"/>
  <c r="J1673" i="4" s="1"/>
  <c r="F785" i="4"/>
  <c r="I785" i="4" s="1"/>
  <c r="L785" i="4" s="1"/>
  <c r="C898" i="4" s="1"/>
  <c r="J934" i="4" s="1"/>
  <c r="D785" i="4"/>
  <c r="D1276" i="4"/>
  <c r="F1276" i="4"/>
  <c r="I1276" i="4" s="1"/>
  <c r="L1276" i="4" s="1"/>
  <c r="C1389" i="4" s="1"/>
  <c r="J1425" i="4" s="1"/>
  <c r="D1522" i="4"/>
  <c r="F1522" i="4"/>
  <c r="I1522" i="4" s="1"/>
  <c r="L1522" i="4" s="1"/>
  <c r="C1635" i="4" s="1"/>
  <c r="J1671" i="4" s="1"/>
  <c r="I80" i="1"/>
  <c r="K47" i="7"/>
  <c r="I368" i="7"/>
  <c r="L368" i="7" s="1"/>
  <c r="I101" i="1"/>
  <c r="K68" i="7"/>
  <c r="I390" i="7"/>
  <c r="L390" i="7" s="1"/>
  <c r="I86" i="1"/>
  <c r="K53" i="7"/>
  <c r="K84" i="3"/>
  <c r="L84" i="3" s="1"/>
  <c r="G371" i="3"/>
  <c r="M84" i="3" s="1"/>
  <c r="E49" i="5"/>
  <c r="F49" i="5"/>
  <c r="K44" i="3"/>
  <c r="G332" i="3"/>
  <c r="M44" i="3" s="1"/>
  <c r="G377" i="3"/>
  <c r="M90" i="3" s="1"/>
  <c r="K90" i="3"/>
  <c r="L90" i="3" s="1"/>
  <c r="G393" i="3"/>
  <c r="M106" i="3" s="1"/>
  <c r="K106" i="3"/>
  <c r="L106" i="3" s="1"/>
  <c r="G396" i="3"/>
  <c r="M109" i="3" s="1"/>
  <c r="K109" i="3"/>
  <c r="L109" i="3" s="1"/>
  <c r="F769" i="4"/>
  <c r="I769" i="4" s="1"/>
  <c r="L769" i="4" s="1"/>
  <c r="C882" i="4" s="1"/>
  <c r="J918" i="4" s="1"/>
  <c r="D769" i="4"/>
  <c r="F31" i="4"/>
  <c r="I31" i="4" s="1"/>
  <c r="L31" i="4" s="1"/>
  <c r="C143" i="4" s="1"/>
  <c r="J180" i="4" s="1"/>
  <c r="D31" i="4"/>
  <c r="F1260" i="4"/>
  <c r="I1260" i="4" s="1"/>
  <c r="L1260" i="4" s="1"/>
  <c r="C1373" i="4" s="1"/>
  <c r="J1409" i="4" s="1"/>
  <c r="D1260" i="4"/>
  <c r="F23" i="5"/>
  <c r="E23" i="5"/>
  <c r="F22" i="5"/>
  <c r="E22" i="5"/>
  <c r="D1514" i="4"/>
  <c r="F1514" i="4"/>
  <c r="I1514" i="4" s="1"/>
  <c r="L1514" i="4" s="1"/>
  <c r="C1627" i="4" s="1"/>
  <c r="J1663" i="4" s="1"/>
  <c r="F777" i="4"/>
  <c r="I777" i="4" s="1"/>
  <c r="L777" i="4" s="1"/>
  <c r="C890" i="4" s="1"/>
  <c r="J926" i="4" s="1"/>
  <c r="D777" i="4"/>
  <c r="F532" i="4"/>
  <c r="I532" i="4" s="1"/>
  <c r="L532" i="4" s="1"/>
  <c r="C645" i="4" s="1"/>
  <c r="J681" i="4" s="1"/>
  <c r="D532" i="4"/>
  <c r="F1257" i="4"/>
  <c r="I1257" i="4" s="1"/>
  <c r="L1257" i="4" s="1"/>
  <c r="C1370" i="4" s="1"/>
  <c r="J1406" i="4" s="1"/>
  <c r="D1257" i="4"/>
  <c r="F1503" i="4"/>
  <c r="I1503" i="4" s="1"/>
  <c r="L1503" i="4" s="1"/>
  <c r="C1616" i="4" s="1"/>
  <c r="J1652" i="4" s="1"/>
  <c r="D1503" i="4"/>
  <c r="D521" i="4"/>
  <c r="F521" i="4"/>
  <c r="I521" i="4" s="1"/>
  <c r="L521" i="4" s="1"/>
  <c r="C634" i="4" s="1"/>
  <c r="J670" i="4" s="1"/>
  <c r="F774" i="4"/>
  <c r="I774" i="4" s="1"/>
  <c r="L774" i="4" s="1"/>
  <c r="C887" i="4" s="1"/>
  <c r="J923" i="4" s="1"/>
  <c r="D774" i="4"/>
  <c r="F36" i="4"/>
  <c r="I36" i="4" s="1"/>
  <c r="L36" i="4" s="1"/>
  <c r="C148" i="4" s="1"/>
  <c r="J185" i="4" s="1"/>
  <c r="D36" i="4"/>
  <c r="D1265" i="4"/>
  <c r="F1265" i="4"/>
  <c r="I1265" i="4" s="1"/>
  <c r="L1265" i="4" s="1"/>
  <c r="C1378" i="4" s="1"/>
  <c r="J1414" i="4" s="1"/>
  <c r="F761" i="4"/>
  <c r="I761" i="4" s="1"/>
  <c r="L761" i="4" s="1"/>
  <c r="C874" i="4" s="1"/>
  <c r="J910" i="4" s="1"/>
  <c r="D761" i="4"/>
  <c r="D516" i="4"/>
  <c r="F516" i="4"/>
  <c r="I516" i="4" s="1"/>
  <c r="L516" i="4" s="1"/>
  <c r="C629" i="4" s="1"/>
  <c r="J665" i="4" s="1"/>
  <c r="D23" i="4"/>
  <c r="F23" i="4"/>
  <c r="I23" i="4" s="1"/>
  <c r="L23" i="4" s="1"/>
  <c r="D294" i="4"/>
  <c r="F294" i="4"/>
  <c r="I294" i="4" s="1"/>
  <c r="L294" i="4" s="1"/>
  <c r="C410" i="4" s="1"/>
  <c r="J446" i="4" s="1"/>
  <c r="F1523" i="4"/>
  <c r="I1523" i="4" s="1"/>
  <c r="L1523" i="4" s="1"/>
  <c r="C1636" i="4" s="1"/>
  <c r="J1672" i="4" s="1"/>
  <c r="D1523" i="4"/>
  <c r="D1277" i="4"/>
  <c r="F1277" i="4"/>
  <c r="I1277" i="4" s="1"/>
  <c r="L1277" i="4" s="1"/>
  <c r="C1390" i="4" s="1"/>
  <c r="J1426" i="4" s="1"/>
  <c r="F531" i="4"/>
  <c r="I531" i="4" s="1"/>
  <c r="L531" i="4" s="1"/>
  <c r="C644" i="4" s="1"/>
  <c r="J680" i="4" s="1"/>
  <c r="D531" i="4"/>
  <c r="F1513" i="4"/>
  <c r="I1513" i="4" s="1"/>
  <c r="L1513" i="4" s="1"/>
  <c r="C1626" i="4" s="1"/>
  <c r="J1662" i="4" s="1"/>
  <c r="D1513" i="4"/>
  <c r="F776" i="4"/>
  <c r="I776" i="4" s="1"/>
  <c r="L776" i="4" s="1"/>
  <c r="C889" i="4" s="1"/>
  <c r="J925" i="4" s="1"/>
  <c r="D776" i="4"/>
  <c r="G387" i="3"/>
  <c r="M100" i="3" s="1"/>
  <c r="K100" i="3"/>
  <c r="L100" i="3" s="1"/>
  <c r="K58" i="3"/>
  <c r="G346" i="3"/>
  <c r="M58" i="3" s="1"/>
  <c r="G372" i="3"/>
  <c r="M85" i="3" s="1"/>
  <c r="K85" i="3"/>
  <c r="L85" i="3" s="1"/>
  <c r="K70" i="3"/>
  <c r="G358" i="3"/>
  <c r="M70" i="3" s="1"/>
  <c r="E517" i="4"/>
  <c r="H517" i="4" s="1"/>
  <c r="K517" i="4" s="1"/>
  <c r="N517" i="4" s="1"/>
  <c r="E630" i="4" s="1"/>
  <c r="G517" i="4"/>
  <c r="J517" i="4" s="1"/>
  <c r="M517" i="4" s="1"/>
  <c r="D630" i="4" s="1"/>
  <c r="G762" i="4"/>
  <c r="J762" i="4" s="1"/>
  <c r="M762" i="4" s="1"/>
  <c r="D875" i="4" s="1"/>
  <c r="E762" i="4"/>
  <c r="H762" i="4" s="1"/>
  <c r="K762" i="4" s="1"/>
  <c r="N762" i="4" s="1"/>
  <c r="E875" i="4" s="1"/>
  <c r="E1507" i="4"/>
  <c r="H1507" i="4" s="1"/>
  <c r="K1507" i="4" s="1"/>
  <c r="N1507" i="4" s="1"/>
  <c r="E1620" i="4" s="1"/>
  <c r="G1507" i="4"/>
  <c r="J1507" i="4" s="1"/>
  <c r="M1507" i="4" s="1"/>
  <c r="D1620" i="4" s="1"/>
  <c r="E770" i="4"/>
  <c r="H770" i="4" s="1"/>
  <c r="K770" i="4" s="1"/>
  <c r="N770" i="4" s="1"/>
  <c r="E883" i="4" s="1"/>
  <c r="G770" i="4"/>
  <c r="J770" i="4" s="1"/>
  <c r="M770" i="4" s="1"/>
  <c r="D883" i="4" s="1"/>
  <c r="E789" i="4"/>
  <c r="H789" i="4" s="1"/>
  <c r="K789" i="4" s="1"/>
  <c r="N789" i="4" s="1"/>
  <c r="E902" i="4" s="1"/>
  <c r="G789" i="4"/>
  <c r="J789" i="4" s="1"/>
  <c r="M789" i="4" s="1"/>
  <c r="D902" i="4" s="1"/>
  <c r="G37" i="4"/>
  <c r="J37" i="4" s="1"/>
  <c r="M37" i="4" s="1"/>
  <c r="D149" i="4" s="1"/>
  <c r="E37" i="4"/>
  <c r="H37" i="4" s="1"/>
  <c r="K37" i="4" s="1"/>
  <c r="N37" i="4" s="1"/>
  <c r="E149" i="4" s="1"/>
  <c r="E33" i="4"/>
  <c r="H33" i="4" s="1"/>
  <c r="K33" i="4" s="1"/>
  <c r="N33" i="4" s="1"/>
  <c r="E145" i="4" s="1"/>
  <c r="G33" i="4"/>
  <c r="J33" i="4" s="1"/>
  <c r="M33" i="4" s="1"/>
  <c r="D145" i="4" s="1"/>
  <c r="E526" i="4"/>
  <c r="H526" i="4" s="1"/>
  <c r="K526" i="4" s="1"/>
  <c r="N526" i="4" s="1"/>
  <c r="E639" i="4" s="1"/>
  <c r="G526" i="4"/>
  <c r="J526" i="4" s="1"/>
  <c r="M526" i="4" s="1"/>
  <c r="D639" i="4" s="1"/>
  <c r="E771" i="4"/>
  <c r="H771" i="4" s="1"/>
  <c r="K771" i="4" s="1"/>
  <c r="N771" i="4" s="1"/>
  <c r="E884" i="4" s="1"/>
  <c r="G771" i="4"/>
  <c r="J771" i="4" s="1"/>
  <c r="M771" i="4" s="1"/>
  <c r="D884" i="4" s="1"/>
  <c r="E780" i="4"/>
  <c r="H780" i="4" s="1"/>
  <c r="K780" i="4" s="1"/>
  <c r="N780" i="4" s="1"/>
  <c r="E893" i="4" s="1"/>
  <c r="G780" i="4"/>
  <c r="J780" i="4" s="1"/>
  <c r="M780" i="4" s="1"/>
  <c r="D893" i="4" s="1"/>
  <c r="E1517" i="4"/>
  <c r="H1517" i="4" s="1"/>
  <c r="K1517" i="4" s="1"/>
  <c r="N1517" i="4" s="1"/>
  <c r="E1630" i="4" s="1"/>
  <c r="G1517" i="4"/>
  <c r="J1517" i="4" s="1"/>
  <c r="M1517" i="4" s="1"/>
  <c r="D1630" i="4" s="1"/>
  <c r="E535" i="4"/>
  <c r="H535" i="4" s="1"/>
  <c r="K535" i="4" s="1"/>
  <c r="N535" i="4" s="1"/>
  <c r="E648" i="4" s="1"/>
  <c r="G535" i="4"/>
  <c r="J535" i="4" s="1"/>
  <c r="M535" i="4" s="1"/>
  <c r="D648" i="4" s="1"/>
  <c r="G1254" i="4"/>
  <c r="J1254" i="4" s="1"/>
  <c r="M1254" i="4" s="1"/>
  <c r="D1367" i="4" s="1"/>
  <c r="E1254" i="4"/>
  <c r="H1254" i="4" s="1"/>
  <c r="K1254" i="4" s="1"/>
  <c r="N1254" i="4" s="1"/>
  <c r="E1367" i="4" s="1"/>
  <c r="E515" i="4"/>
  <c r="H515" i="4" s="1"/>
  <c r="K515" i="4" s="1"/>
  <c r="N515" i="4" s="1"/>
  <c r="E628" i="4" s="1"/>
  <c r="G515" i="4"/>
  <c r="J515" i="4" s="1"/>
  <c r="M515" i="4" s="1"/>
  <c r="D628" i="4" s="1"/>
  <c r="G760" i="4"/>
  <c r="J760" i="4" s="1"/>
  <c r="M760" i="4" s="1"/>
  <c r="D873" i="4" s="1"/>
  <c r="E760" i="4"/>
  <c r="H760" i="4" s="1"/>
  <c r="K760" i="4" s="1"/>
  <c r="N760" i="4" s="1"/>
  <c r="E873" i="4" s="1"/>
  <c r="G35" i="4"/>
  <c r="J35" i="4" s="1"/>
  <c r="M35" i="4" s="1"/>
  <c r="D147" i="4" s="1"/>
  <c r="E35" i="4"/>
  <c r="H35" i="4" s="1"/>
  <c r="K35" i="4" s="1"/>
  <c r="N35" i="4" s="1"/>
  <c r="E147" i="4" s="1"/>
  <c r="K41" i="3"/>
  <c r="G329" i="3"/>
  <c r="M41" i="3" s="1"/>
  <c r="G391" i="3"/>
  <c r="M104" i="3" s="1"/>
  <c r="K104" i="3"/>
  <c r="L104" i="3" s="1"/>
  <c r="K68" i="3"/>
  <c r="G356" i="3"/>
  <c r="M68" i="3" s="1"/>
  <c r="E788" i="4"/>
  <c r="H788" i="4" s="1"/>
  <c r="K788" i="4" s="1"/>
  <c r="N788" i="4" s="1"/>
  <c r="E901" i="4" s="1"/>
  <c r="G788" i="4"/>
  <c r="J788" i="4" s="1"/>
  <c r="M788" i="4" s="1"/>
  <c r="D901" i="4" s="1"/>
  <c r="G296" i="4"/>
  <c r="J296" i="4" s="1"/>
  <c r="M296" i="4" s="1"/>
  <c r="D412" i="4" s="1"/>
  <c r="E296" i="4"/>
  <c r="H296" i="4" s="1"/>
  <c r="K296" i="4" s="1"/>
  <c r="N296" i="4" s="1"/>
  <c r="E412" i="4" s="1"/>
  <c r="F180" i="5"/>
  <c r="E180" i="5"/>
  <c r="F37" i="5"/>
  <c r="E37" i="5"/>
  <c r="K57" i="3"/>
  <c r="G345" i="3"/>
  <c r="M57" i="3" s="1"/>
  <c r="G390" i="3"/>
  <c r="M103" i="3" s="1"/>
  <c r="K103" i="3"/>
  <c r="L103" i="3" s="1"/>
  <c r="G386" i="3"/>
  <c r="M99" i="3" s="1"/>
  <c r="K99" i="3"/>
  <c r="L99" i="3" s="1"/>
  <c r="G376" i="3"/>
  <c r="M89" i="3" s="1"/>
  <c r="K89" i="3"/>
  <c r="L89" i="3" s="1"/>
  <c r="M56" i="2"/>
  <c r="T310" i="2"/>
  <c r="W310" i="2" s="1"/>
  <c r="V326" i="2"/>
  <c r="U326" i="2"/>
  <c r="K72" i="2" s="1"/>
  <c r="L72" i="2" s="1"/>
  <c r="U324" i="2"/>
  <c r="K70" i="2" s="1"/>
  <c r="L70" i="2" s="1"/>
  <c r="V324" i="2"/>
  <c r="U322" i="2"/>
  <c r="K68" i="2" s="1"/>
  <c r="L68" i="2" s="1"/>
  <c r="V322" i="2"/>
  <c r="U323" i="2"/>
  <c r="K69" i="2" s="1"/>
  <c r="L69" i="2" s="1"/>
  <c r="V323" i="2"/>
  <c r="I393" i="7"/>
  <c r="L393" i="7" s="1"/>
  <c r="K50" i="3"/>
  <c r="G338" i="3"/>
  <c r="M50" i="3" s="1"/>
  <c r="K56" i="3"/>
  <c r="G344" i="3"/>
  <c r="M56" i="3" s="1"/>
  <c r="F36" i="5"/>
  <c r="E36" i="5"/>
  <c r="E199" i="5"/>
  <c r="F199" i="5"/>
  <c r="F197" i="5"/>
  <c r="E197" i="5"/>
  <c r="K47" i="3"/>
  <c r="G335" i="3"/>
  <c r="M47" i="3" s="1"/>
  <c r="G379" i="3"/>
  <c r="M92" i="3" s="1"/>
  <c r="K92" i="3"/>
  <c r="L92" i="3" s="1"/>
  <c r="K64" i="3"/>
  <c r="G352" i="3"/>
  <c r="M64" i="3" s="1"/>
  <c r="K42" i="3"/>
  <c r="G330" i="3"/>
  <c r="M42" i="3" s="1"/>
  <c r="F1528" i="4"/>
  <c r="I1528" i="4" s="1"/>
  <c r="L1528" i="4" s="1"/>
  <c r="C1641" i="4" s="1"/>
  <c r="J1677" i="4" s="1"/>
  <c r="D1528" i="4"/>
  <c r="D791" i="4"/>
  <c r="F791" i="4"/>
  <c r="I791" i="4" s="1"/>
  <c r="L791" i="4" s="1"/>
  <c r="C904" i="4" s="1"/>
  <c r="J940" i="4" s="1"/>
  <c r="D299" i="4"/>
  <c r="F299" i="4"/>
  <c r="I299" i="4" s="1"/>
  <c r="L299" i="4" s="1"/>
  <c r="C415" i="4" s="1"/>
  <c r="J451" i="4" s="1"/>
  <c r="F539" i="4"/>
  <c r="I539" i="4" s="1"/>
  <c r="L539" i="4" s="1"/>
  <c r="C652" i="4" s="1"/>
  <c r="J688" i="4" s="1"/>
  <c r="D539" i="4"/>
  <c r="D1521" i="4"/>
  <c r="F1521" i="4"/>
  <c r="I1521" i="4" s="1"/>
  <c r="L1521" i="4" s="1"/>
  <c r="C1634" i="4" s="1"/>
  <c r="J1670" i="4" s="1"/>
  <c r="F784" i="4"/>
  <c r="I784" i="4" s="1"/>
  <c r="L784" i="4" s="1"/>
  <c r="C897" i="4" s="1"/>
  <c r="J933" i="4" s="1"/>
  <c r="D784" i="4"/>
  <c r="G385" i="3"/>
  <c r="M98" i="3" s="1"/>
  <c r="K98" i="3"/>
  <c r="L98" i="3" s="1"/>
  <c r="K69" i="3"/>
  <c r="G357" i="3"/>
  <c r="M69" i="3" s="1"/>
  <c r="G384" i="3"/>
  <c r="M97" i="3" s="1"/>
  <c r="K97" i="3"/>
  <c r="L97" i="3" s="1"/>
  <c r="K60" i="3"/>
  <c r="G348" i="3"/>
  <c r="M60" i="3" s="1"/>
  <c r="F27" i="5"/>
  <c r="E27" i="5"/>
  <c r="D520" i="4"/>
  <c r="F520" i="4"/>
  <c r="I520" i="4" s="1"/>
  <c r="L520" i="4" s="1"/>
  <c r="C633" i="4" s="1"/>
  <c r="J669" i="4" s="1"/>
  <c r="F273" i="4"/>
  <c r="I273" i="4" s="1"/>
  <c r="L273" i="4" s="1"/>
  <c r="C389" i="4" s="1"/>
  <c r="J425" i="4" s="1"/>
  <c r="D273" i="4"/>
  <c r="F27" i="4"/>
  <c r="I27" i="4" s="1"/>
  <c r="L27" i="4" s="1"/>
  <c r="C139" i="4" s="1"/>
  <c r="J176" i="4" s="1"/>
  <c r="D27" i="4"/>
  <c r="D26" i="4"/>
  <c r="F26" i="4"/>
  <c r="I26" i="4" s="1"/>
  <c r="L26" i="4" s="1"/>
  <c r="C138" i="4" s="1"/>
  <c r="J175" i="4" s="1"/>
  <c r="D1255" i="4"/>
  <c r="F1255" i="4"/>
  <c r="I1255" i="4" s="1"/>
  <c r="L1255" i="4" s="1"/>
  <c r="C1368" i="4" s="1"/>
  <c r="J1404" i="4" s="1"/>
  <c r="F764" i="4"/>
  <c r="I764" i="4" s="1"/>
  <c r="L764" i="4" s="1"/>
  <c r="C877" i="4" s="1"/>
  <c r="J913" i="4" s="1"/>
  <c r="D764" i="4"/>
  <c r="F35" i="5"/>
  <c r="E35" i="5"/>
  <c r="E24" i="5"/>
  <c r="F24" i="5"/>
  <c r="E32" i="5"/>
  <c r="F32" i="5"/>
  <c r="E19" i="5"/>
  <c r="F19" i="5"/>
  <c r="F44" i="5"/>
  <c r="E44" i="5"/>
  <c r="F34" i="5"/>
  <c r="E34" i="5"/>
  <c r="I81" i="1"/>
  <c r="K48" i="7"/>
  <c r="G351" i="3"/>
  <c r="M63" i="3" s="1"/>
  <c r="K63" i="3"/>
  <c r="F1010" i="4"/>
  <c r="I1010" i="4" s="1"/>
  <c r="L1010" i="4" s="1"/>
  <c r="C1123" i="4" s="1"/>
  <c r="J1159" i="4" s="1"/>
  <c r="D1010" i="4"/>
  <c r="I371" i="7"/>
  <c r="L371" i="7" s="1"/>
  <c r="I96" i="1"/>
  <c r="K63" i="7"/>
  <c r="K82" i="3"/>
  <c r="L82" i="3" s="1"/>
  <c r="G369" i="3"/>
  <c r="M82" i="3" s="1"/>
  <c r="G333" i="3"/>
  <c r="M45" i="3" s="1"/>
  <c r="K45" i="3"/>
  <c r="G336" i="3"/>
  <c r="M48" i="3" s="1"/>
  <c r="K48" i="3"/>
  <c r="G395" i="3"/>
  <c r="M108" i="3" s="1"/>
  <c r="K108" i="3"/>
  <c r="L108" i="3" s="1"/>
  <c r="I372" i="7"/>
  <c r="L372" i="7" s="1"/>
  <c r="I92" i="1"/>
  <c r="K59" i="7"/>
  <c r="I385" i="7"/>
  <c r="L385" i="7" s="1"/>
  <c r="E24" i="4"/>
  <c r="H24" i="4" s="1"/>
  <c r="K24" i="4" s="1"/>
  <c r="N24" i="4" s="1"/>
  <c r="E136" i="4" s="1"/>
  <c r="G24" i="4"/>
  <c r="J24" i="4" s="1"/>
  <c r="M24" i="4" s="1"/>
  <c r="D136" i="4" s="1"/>
  <c r="E1509" i="4"/>
  <c r="H1509" i="4" s="1"/>
  <c r="K1509" i="4" s="1"/>
  <c r="N1509" i="4" s="1"/>
  <c r="E1622" i="4" s="1"/>
  <c r="G1509" i="4"/>
  <c r="J1509" i="4" s="1"/>
  <c r="M1509" i="4" s="1"/>
  <c r="D1622" i="4" s="1"/>
  <c r="E1263" i="4"/>
  <c r="H1263" i="4" s="1"/>
  <c r="K1263" i="4" s="1"/>
  <c r="N1263" i="4" s="1"/>
  <c r="E1376" i="4" s="1"/>
  <c r="G1263" i="4"/>
  <c r="J1263" i="4" s="1"/>
  <c r="M1263" i="4" s="1"/>
  <c r="D1376" i="4" s="1"/>
  <c r="E32" i="4"/>
  <c r="H32" i="4" s="1"/>
  <c r="K32" i="4" s="1"/>
  <c r="N32" i="4" s="1"/>
  <c r="E144" i="4" s="1"/>
  <c r="G32" i="4"/>
  <c r="J32" i="4" s="1"/>
  <c r="M32" i="4" s="1"/>
  <c r="D144" i="4" s="1"/>
  <c r="E1266" i="4"/>
  <c r="H1266" i="4" s="1"/>
  <c r="K1266" i="4" s="1"/>
  <c r="N1266" i="4" s="1"/>
  <c r="E1379" i="4" s="1"/>
  <c r="G1266" i="4"/>
  <c r="J1266" i="4" s="1"/>
  <c r="M1266" i="4" s="1"/>
  <c r="D1379" i="4" s="1"/>
  <c r="G279" i="4"/>
  <c r="J279" i="4" s="1"/>
  <c r="M279" i="4" s="1"/>
  <c r="D395" i="4" s="1"/>
  <c r="E279" i="4"/>
  <c r="H279" i="4" s="1"/>
  <c r="K279" i="4" s="1"/>
  <c r="N279" i="4" s="1"/>
  <c r="E395" i="4" s="1"/>
  <c r="E1262" i="4"/>
  <c r="H1262" i="4" s="1"/>
  <c r="K1262" i="4" s="1"/>
  <c r="N1262" i="4" s="1"/>
  <c r="E1375" i="4" s="1"/>
  <c r="G1262" i="4"/>
  <c r="J1262" i="4" s="1"/>
  <c r="M1262" i="4" s="1"/>
  <c r="D1375" i="4" s="1"/>
  <c r="G300" i="4"/>
  <c r="J300" i="4" s="1"/>
  <c r="M300" i="4" s="1"/>
  <c r="D416" i="4" s="1"/>
  <c r="E300" i="4"/>
  <c r="H300" i="4" s="1"/>
  <c r="K300" i="4" s="1"/>
  <c r="N300" i="4" s="1"/>
  <c r="E416" i="4" s="1"/>
  <c r="E42" i="4"/>
  <c r="H42" i="4" s="1"/>
  <c r="K42" i="4" s="1"/>
  <c r="N42" i="4" s="1"/>
  <c r="E154" i="4" s="1"/>
  <c r="G42" i="4"/>
  <c r="J42" i="4" s="1"/>
  <c r="M42" i="4" s="1"/>
  <c r="D154" i="4" s="1"/>
  <c r="G271" i="4"/>
  <c r="J271" i="4" s="1"/>
  <c r="M271" i="4" s="1"/>
  <c r="D387" i="4" s="1"/>
  <c r="E271" i="4"/>
  <c r="H271" i="4" s="1"/>
  <c r="K271" i="4" s="1"/>
  <c r="N271" i="4" s="1"/>
  <c r="E387" i="4" s="1"/>
  <c r="E518" i="4"/>
  <c r="H518" i="4" s="1"/>
  <c r="K518" i="4" s="1"/>
  <c r="N518" i="4" s="1"/>
  <c r="E631" i="4" s="1"/>
  <c r="G518" i="4"/>
  <c r="J518" i="4" s="1"/>
  <c r="M518" i="4" s="1"/>
  <c r="D631" i="4" s="1"/>
  <c r="G22" i="4"/>
  <c r="J22" i="4" s="1"/>
  <c r="M22" i="4" s="1"/>
  <c r="D134" i="4" s="1"/>
  <c r="E22" i="4"/>
  <c r="H22" i="4" s="1"/>
  <c r="K22" i="4" s="1"/>
  <c r="N22" i="4" s="1"/>
  <c r="E134" i="4" s="1"/>
  <c r="E1504" i="4"/>
  <c r="H1504" i="4" s="1"/>
  <c r="K1504" i="4" s="1"/>
  <c r="N1504" i="4" s="1"/>
  <c r="E1617" i="4" s="1"/>
  <c r="G1504" i="4"/>
  <c r="J1504" i="4" s="1"/>
  <c r="M1504" i="4" s="1"/>
  <c r="D1617" i="4" s="1"/>
  <c r="E773" i="4"/>
  <c r="H773" i="4" s="1"/>
  <c r="K773" i="4" s="1"/>
  <c r="N773" i="4" s="1"/>
  <c r="E886" i="4" s="1"/>
  <c r="G773" i="4"/>
  <c r="J773" i="4" s="1"/>
  <c r="M773" i="4" s="1"/>
  <c r="D886" i="4" s="1"/>
  <c r="G528" i="4"/>
  <c r="J528" i="4" s="1"/>
  <c r="M528" i="4" s="1"/>
  <c r="D641" i="4" s="1"/>
  <c r="E528" i="4"/>
  <c r="H528" i="4" s="1"/>
  <c r="K528" i="4" s="1"/>
  <c r="N528" i="4" s="1"/>
  <c r="E641" i="4" s="1"/>
  <c r="E543" i="4"/>
  <c r="H543" i="4" s="1"/>
  <c r="K543" i="4" s="1"/>
  <c r="N543" i="4" s="1"/>
  <c r="E656" i="4" s="1"/>
  <c r="G543" i="4"/>
  <c r="J543" i="4" s="1"/>
  <c r="M543" i="4" s="1"/>
  <c r="D656" i="4" s="1"/>
  <c r="D276" i="4"/>
  <c r="F276" i="4"/>
  <c r="I276" i="4" s="1"/>
  <c r="L276" i="4" s="1"/>
  <c r="C392" i="4" s="1"/>
  <c r="J428" i="4" s="1"/>
  <c r="F768" i="4"/>
  <c r="I768" i="4" s="1"/>
  <c r="L768" i="4" s="1"/>
  <c r="C881" i="4" s="1"/>
  <c r="J917" i="4" s="1"/>
  <c r="D768" i="4"/>
  <c r="F1505" i="4"/>
  <c r="I1505" i="4" s="1"/>
  <c r="L1505" i="4" s="1"/>
  <c r="C1618" i="4" s="1"/>
  <c r="J1654" i="4" s="1"/>
  <c r="D1505" i="4"/>
  <c r="F1270" i="4"/>
  <c r="I1270" i="4" s="1"/>
  <c r="L1270" i="4" s="1"/>
  <c r="C1383" i="4" s="1"/>
  <c r="J1419" i="4" s="1"/>
  <c r="D1270" i="4"/>
  <c r="D779" i="4"/>
  <c r="F779" i="4"/>
  <c r="I779" i="4" s="1"/>
  <c r="L779" i="4" s="1"/>
  <c r="C892" i="4" s="1"/>
  <c r="J928" i="4" s="1"/>
  <c r="F534" i="4"/>
  <c r="I534" i="4" s="1"/>
  <c r="L534" i="4" s="1"/>
  <c r="C647" i="4" s="1"/>
  <c r="J683" i="4" s="1"/>
  <c r="D534" i="4"/>
  <c r="M64" i="2"/>
  <c r="T318" i="2"/>
  <c r="W318" i="2" s="1"/>
  <c r="M57" i="2"/>
  <c r="T311" i="2"/>
  <c r="W311" i="2" s="1"/>
  <c r="I91" i="1"/>
  <c r="K58" i="7"/>
  <c r="I388" i="7"/>
  <c r="L388" i="7" s="1"/>
  <c r="I98" i="1"/>
  <c r="K65" i="7"/>
  <c r="I386" i="7"/>
  <c r="L386" i="7" s="1"/>
  <c r="I89" i="1"/>
  <c r="K56" i="7"/>
  <c r="I377" i="7"/>
  <c r="L377" i="7" s="1"/>
  <c r="I387" i="7"/>
  <c r="L387" i="7" s="1"/>
  <c r="I74" i="1"/>
  <c r="K41" i="7"/>
  <c r="I94" i="1"/>
  <c r="K61" i="7"/>
  <c r="I382" i="7"/>
  <c r="L382" i="7" s="1"/>
  <c r="I104" i="1"/>
  <c r="K71" i="7"/>
  <c r="I75" i="1"/>
  <c r="K42" i="7"/>
  <c r="I363" i="7"/>
  <c r="L363" i="7" s="1"/>
  <c r="I381" i="7"/>
  <c r="L381" i="7" s="1"/>
  <c r="L40" i="3"/>
  <c r="H73" i="1" s="1"/>
  <c r="G73" i="1"/>
  <c r="I90" i="1"/>
  <c r="K57" i="7"/>
  <c r="I370" i="7"/>
  <c r="L370" i="7" s="1"/>
  <c r="I85" i="1"/>
  <c r="K52" i="7"/>
  <c r="U315" i="2"/>
  <c r="K61" i="2" s="1"/>
  <c r="L61" i="2" s="1"/>
  <c r="V315" i="2"/>
  <c r="F1012" i="4"/>
  <c r="I1012" i="4" s="1"/>
  <c r="L1012" i="4" s="1"/>
  <c r="C1125" i="4" s="1"/>
  <c r="J1161" i="4" s="1"/>
  <c r="D1012" i="4"/>
  <c r="F286" i="4"/>
  <c r="I286" i="4" s="1"/>
  <c r="L286" i="4" s="1"/>
  <c r="C402" i="4" s="1"/>
  <c r="J438" i="4" s="1"/>
  <c r="D286" i="4"/>
  <c r="D778" i="4"/>
  <c r="F778" i="4"/>
  <c r="I778" i="4" s="1"/>
  <c r="L778" i="4" s="1"/>
  <c r="C891" i="4" s="1"/>
  <c r="J927" i="4" s="1"/>
  <c r="F1515" i="4"/>
  <c r="I1515" i="4" s="1"/>
  <c r="L1515" i="4" s="1"/>
  <c r="C1628" i="4" s="1"/>
  <c r="J1664" i="4" s="1"/>
  <c r="D1515" i="4"/>
  <c r="F542" i="4"/>
  <c r="I542" i="4" s="1"/>
  <c r="L542" i="4" s="1"/>
  <c r="C655" i="4" s="1"/>
  <c r="J691" i="4" s="1"/>
  <c r="D542" i="4"/>
  <c r="F1278" i="4"/>
  <c r="I1278" i="4" s="1"/>
  <c r="L1278" i="4" s="1"/>
  <c r="C1391" i="4" s="1"/>
  <c r="J1427" i="4" s="1"/>
  <c r="D1278" i="4"/>
  <c r="D295" i="4"/>
  <c r="F295" i="4"/>
  <c r="I295" i="4" s="1"/>
  <c r="L295" i="4" s="1"/>
  <c r="C411" i="4" s="1"/>
  <c r="J447" i="4" s="1"/>
  <c r="D47" i="4"/>
  <c r="F47" i="4"/>
  <c r="I47" i="4" s="1"/>
  <c r="L47" i="4" s="1"/>
  <c r="C159" i="4" s="1"/>
  <c r="J196" i="4" s="1"/>
  <c r="D540" i="4"/>
  <c r="F540" i="4"/>
  <c r="I540" i="4" s="1"/>
  <c r="L540" i="4" s="1"/>
  <c r="C653" i="4" s="1"/>
  <c r="J689" i="4" s="1"/>
  <c r="D293" i="4"/>
  <c r="F293" i="4"/>
  <c r="I293" i="4" s="1"/>
  <c r="L293" i="4" s="1"/>
  <c r="C409" i="4" s="1"/>
  <c r="J445" i="4" s="1"/>
  <c r="D1013" i="4"/>
  <c r="F1013" i="4"/>
  <c r="I1013" i="4" s="1"/>
  <c r="L1013" i="4" s="1"/>
  <c r="C1126" i="4" s="1"/>
  <c r="J1162" i="4" s="1"/>
  <c r="I88" i="1"/>
  <c r="K55" i="7"/>
  <c r="I376" i="7"/>
  <c r="L376" i="7" s="1"/>
  <c r="I389" i="7"/>
  <c r="L389" i="7" s="1"/>
  <c r="I102" i="1"/>
  <c r="K69" i="7"/>
  <c r="I374" i="7"/>
  <c r="L374" i="7" s="1"/>
  <c r="F203" i="5"/>
  <c r="E203" i="5"/>
  <c r="F196" i="5"/>
  <c r="E196" i="5"/>
  <c r="D277" i="4"/>
  <c r="F277" i="4"/>
  <c r="I277" i="4" s="1"/>
  <c r="L277" i="4" s="1"/>
  <c r="C393" i="4" s="1"/>
  <c r="J429" i="4" s="1"/>
  <c r="D1506" i="4"/>
  <c r="F1506" i="4"/>
  <c r="I1506" i="4" s="1"/>
  <c r="L1506" i="4" s="1"/>
  <c r="C1619" i="4" s="1"/>
  <c r="J1655" i="4" s="1"/>
  <c r="F524" i="4"/>
  <c r="I524" i="4" s="1"/>
  <c r="L524" i="4" s="1"/>
  <c r="C637" i="4" s="1"/>
  <c r="J673" i="4" s="1"/>
  <c r="D524" i="4"/>
  <c r="F177" i="5"/>
  <c r="E177" i="5"/>
  <c r="E176" i="5"/>
  <c r="F176" i="5"/>
  <c r="F285" i="4"/>
  <c r="I285" i="4" s="1"/>
  <c r="L285" i="4" s="1"/>
  <c r="C401" i="4" s="1"/>
  <c r="J437" i="4" s="1"/>
  <c r="D285" i="4"/>
  <c r="D39" i="4"/>
  <c r="F39" i="4"/>
  <c r="I39" i="4" s="1"/>
  <c r="L39" i="4" s="1"/>
  <c r="C151" i="4" s="1"/>
  <c r="J188" i="4" s="1"/>
  <c r="F1268" i="4"/>
  <c r="I1268" i="4" s="1"/>
  <c r="L1268" i="4" s="1"/>
  <c r="C1381" i="4" s="1"/>
  <c r="J1417" i="4" s="1"/>
  <c r="D1268" i="4"/>
  <c r="D28" i="4"/>
  <c r="F28" i="4"/>
  <c r="I28" i="4" s="1"/>
  <c r="L28" i="4" s="1"/>
  <c r="C140" i="4" s="1"/>
  <c r="J177" i="4" s="1"/>
  <c r="F766" i="4"/>
  <c r="I766" i="4" s="1"/>
  <c r="L766" i="4" s="1"/>
  <c r="C879" i="4" s="1"/>
  <c r="J915" i="4" s="1"/>
  <c r="D766" i="4"/>
  <c r="F274" i="4"/>
  <c r="I274" i="4" s="1"/>
  <c r="L274" i="4" s="1"/>
  <c r="C390" i="4" s="1"/>
  <c r="J426" i="4" s="1"/>
  <c r="D274" i="4"/>
  <c r="F1511" i="4"/>
  <c r="I1511" i="4" s="1"/>
  <c r="L1511" i="4" s="1"/>
  <c r="C1624" i="4" s="1"/>
  <c r="J1660" i="4" s="1"/>
  <c r="D1511" i="4"/>
  <c r="D529" i="4"/>
  <c r="F529" i="4"/>
  <c r="I529" i="4" s="1"/>
  <c r="L529" i="4" s="1"/>
  <c r="C642" i="4" s="1"/>
  <c r="J678" i="4" s="1"/>
  <c r="F282" i="4"/>
  <c r="I282" i="4" s="1"/>
  <c r="L282" i="4" s="1"/>
  <c r="C398" i="4" s="1"/>
  <c r="J434" i="4" s="1"/>
  <c r="D282" i="4"/>
  <c r="F269" i="4"/>
  <c r="I269" i="4" s="1"/>
  <c r="L269" i="4" s="1"/>
  <c r="C385" i="4" s="1"/>
  <c r="J421" i="4" s="1"/>
  <c r="D269" i="4"/>
  <c r="D1498" i="4"/>
  <c r="F1498" i="4"/>
  <c r="I1498" i="4" s="1"/>
  <c r="L1498" i="4" s="1"/>
  <c r="C1611" i="4" s="1"/>
  <c r="J1647" i="4" s="1"/>
  <c r="D1252" i="4"/>
  <c r="F1252" i="4"/>
  <c r="I1252" i="4" s="1"/>
  <c r="L1252" i="4" s="1"/>
  <c r="C1365" i="4" s="1"/>
  <c r="J1401" i="4" s="1"/>
  <c r="D541" i="4"/>
  <c r="F541" i="4"/>
  <c r="I541" i="4" s="1"/>
  <c r="L541" i="4" s="1"/>
  <c r="C654" i="4" s="1"/>
  <c r="J690" i="4" s="1"/>
  <c r="F786" i="4"/>
  <c r="I786" i="4" s="1"/>
  <c r="L786" i="4" s="1"/>
  <c r="C899" i="4" s="1"/>
  <c r="J935" i="4" s="1"/>
  <c r="D786" i="4"/>
  <c r="D48" i="4"/>
  <c r="F48" i="4"/>
  <c r="I48" i="4" s="1"/>
  <c r="L48" i="4" s="1"/>
  <c r="C160" i="4" s="1"/>
  <c r="J197" i="4" s="1"/>
  <c r="D1267" i="4"/>
  <c r="F1267" i="4"/>
  <c r="I1267" i="4" s="1"/>
  <c r="L1267" i="4" s="1"/>
  <c r="C1380" i="4" s="1"/>
  <c r="J1416" i="4" s="1"/>
  <c r="D38" i="4"/>
  <c r="F38" i="4"/>
  <c r="I38" i="4" s="1"/>
  <c r="L38" i="4" s="1"/>
  <c r="C150" i="4" s="1"/>
  <c r="J187" i="4" s="1"/>
  <c r="F284" i="4"/>
  <c r="I284" i="4" s="1"/>
  <c r="L284" i="4" s="1"/>
  <c r="C400" i="4" s="1"/>
  <c r="J436" i="4" s="1"/>
  <c r="D284" i="4"/>
  <c r="F1008" i="4"/>
  <c r="I1008" i="4" s="1"/>
  <c r="L1008" i="4" s="1"/>
  <c r="C1121" i="4" s="1"/>
  <c r="J1157" i="4" s="1"/>
  <c r="D1008" i="4"/>
  <c r="G270" i="4"/>
  <c r="J270" i="4" s="1"/>
  <c r="M270" i="4" s="1"/>
  <c r="D386" i="4" s="1"/>
  <c r="E270" i="4"/>
  <c r="H270" i="4" s="1"/>
  <c r="K270" i="4" s="1"/>
  <c r="N270" i="4" s="1"/>
  <c r="E386" i="4" s="1"/>
  <c r="E772" i="4"/>
  <c r="H772" i="4" s="1"/>
  <c r="K772" i="4" s="1"/>
  <c r="N772" i="4" s="1"/>
  <c r="E885" i="4" s="1"/>
  <c r="G772" i="4"/>
  <c r="J772" i="4" s="1"/>
  <c r="M772" i="4" s="1"/>
  <c r="D885" i="4" s="1"/>
  <c r="G280" i="4"/>
  <c r="J280" i="4" s="1"/>
  <c r="M280" i="4" s="1"/>
  <c r="D396" i="4" s="1"/>
  <c r="E280" i="4"/>
  <c r="H280" i="4" s="1"/>
  <c r="K280" i="4" s="1"/>
  <c r="N280" i="4" s="1"/>
  <c r="E396" i="4" s="1"/>
  <c r="E34" i="4"/>
  <c r="H34" i="4" s="1"/>
  <c r="K34" i="4" s="1"/>
  <c r="N34" i="4" s="1"/>
  <c r="E146" i="4" s="1"/>
  <c r="G34" i="4"/>
  <c r="J34" i="4" s="1"/>
  <c r="M34" i="4" s="1"/>
  <c r="D146" i="4" s="1"/>
  <c r="E1274" i="4"/>
  <c r="H1274" i="4" s="1"/>
  <c r="K1274" i="4" s="1"/>
  <c r="N1274" i="4" s="1"/>
  <c r="E1387" i="4" s="1"/>
  <c r="G1274" i="4"/>
  <c r="J1274" i="4" s="1"/>
  <c r="M1274" i="4" s="1"/>
  <c r="D1387" i="4" s="1"/>
  <c r="E783" i="4"/>
  <c r="H783" i="4" s="1"/>
  <c r="K783" i="4" s="1"/>
  <c r="N783" i="4" s="1"/>
  <c r="E896" i="4" s="1"/>
  <c r="G783" i="4"/>
  <c r="J783" i="4" s="1"/>
  <c r="M783" i="4" s="1"/>
  <c r="D896" i="4" s="1"/>
  <c r="G45" i="4"/>
  <c r="J45" i="4" s="1"/>
  <c r="M45" i="4" s="1"/>
  <c r="D157" i="4" s="1"/>
  <c r="E45" i="4"/>
  <c r="H45" i="4" s="1"/>
  <c r="K45" i="4" s="1"/>
  <c r="N45" i="4" s="1"/>
  <c r="E157" i="4" s="1"/>
  <c r="E525" i="4"/>
  <c r="H525" i="4" s="1"/>
  <c r="K525" i="4" s="1"/>
  <c r="N525" i="4" s="1"/>
  <c r="E638" i="4" s="1"/>
  <c r="G525" i="4"/>
  <c r="J525" i="4" s="1"/>
  <c r="M525" i="4" s="1"/>
  <c r="D638" i="4" s="1"/>
  <c r="E544" i="4"/>
  <c r="H544" i="4" s="1"/>
  <c r="K544" i="4" s="1"/>
  <c r="N544" i="4" s="1"/>
  <c r="E657" i="4" s="1"/>
  <c r="G544" i="4"/>
  <c r="J544" i="4" s="1"/>
  <c r="M544" i="4" s="1"/>
  <c r="D657" i="4" s="1"/>
  <c r="G297" i="4"/>
  <c r="J297" i="4" s="1"/>
  <c r="M297" i="4" s="1"/>
  <c r="D413" i="4" s="1"/>
  <c r="E297" i="4"/>
  <c r="H297" i="4" s="1"/>
  <c r="K297" i="4" s="1"/>
  <c r="N297" i="4" s="1"/>
  <c r="E413" i="4" s="1"/>
  <c r="E775" i="4"/>
  <c r="H775" i="4" s="1"/>
  <c r="K775" i="4" s="1"/>
  <c r="N775" i="4" s="1"/>
  <c r="E888" i="4" s="1"/>
  <c r="G775" i="4"/>
  <c r="J775" i="4" s="1"/>
  <c r="M775" i="4" s="1"/>
  <c r="D888" i="4" s="1"/>
  <c r="E283" i="4"/>
  <c r="H283" i="4" s="1"/>
  <c r="K283" i="4" s="1"/>
  <c r="N283" i="4" s="1"/>
  <c r="E399" i="4" s="1"/>
  <c r="G283" i="4"/>
  <c r="J283" i="4" s="1"/>
  <c r="M283" i="4" s="1"/>
  <c r="D399" i="4" s="1"/>
  <c r="E792" i="4"/>
  <c r="H792" i="4" s="1"/>
  <c r="K792" i="4" s="1"/>
  <c r="N792" i="4" s="1"/>
  <c r="E905" i="4" s="1"/>
  <c r="G792" i="4"/>
  <c r="J792" i="4" s="1"/>
  <c r="M792" i="4" s="1"/>
  <c r="D905" i="4" s="1"/>
  <c r="E54" i="4"/>
  <c r="H54" i="4" s="1"/>
  <c r="K54" i="4" s="1"/>
  <c r="N54" i="4" s="1"/>
  <c r="E166" i="4" s="1"/>
  <c r="G54" i="4"/>
  <c r="J54" i="4" s="1"/>
  <c r="M54" i="4" s="1"/>
  <c r="D166" i="4" s="1"/>
  <c r="E1529" i="4"/>
  <c r="H1529" i="4" s="1"/>
  <c r="K1529" i="4" s="1"/>
  <c r="N1529" i="4" s="1"/>
  <c r="E1642" i="4" s="1"/>
  <c r="G1529" i="4"/>
  <c r="J1529" i="4" s="1"/>
  <c r="M1529" i="4" s="1"/>
  <c r="D1642" i="4" s="1"/>
  <c r="G1500" i="4"/>
  <c r="J1500" i="4" s="1"/>
  <c r="M1500" i="4" s="1"/>
  <c r="D1613" i="4" s="1"/>
  <c r="E1500" i="4"/>
  <c r="H1500" i="4" s="1"/>
  <c r="K1500" i="4" s="1"/>
  <c r="N1500" i="4" s="1"/>
  <c r="E1613" i="4" s="1"/>
  <c r="G25" i="4"/>
  <c r="J25" i="4" s="1"/>
  <c r="M25" i="4" s="1"/>
  <c r="D137" i="4" s="1"/>
  <c r="E25" i="4"/>
  <c r="H25" i="4" s="1"/>
  <c r="K25" i="4" s="1"/>
  <c r="N25" i="4" s="1"/>
  <c r="E137" i="4" s="1"/>
  <c r="G1497" i="4"/>
  <c r="J1497" i="4" s="1"/>
  <c r="M1497" i="4" s="1"/>
  <c r="D1610" i="4" s="1"/>
  <c r="E1497" i="4"/>
  <c r="H1497" i="4" s="1"/>
  <c r="K1497" i="4" s="1"/>
  <c r="N1497" i="4" s="1"/>
  <c r="E1610" i="4" s="1"/>
  <c r="E1258" i="4"/>
  <c r="H1258" i="4" s="1"/>
  <c r="K1258" i="4" s="1"/>
  <c r="N1258" i="4" s="1"/>
  <c r="E1371" i="4" s="1"/>
  <c r="G767" i="4"/>
  <c r="J767" i="4" s="1"/>
  <c r="M767" i="4" s="1"/>
  <c r="D880" i="4" s="1"/>
  <c r="E767" i="4"/>
  <c r="H767" i="4" s="1"/>
  <c r="K767" i="4" s="1"/>
  <c r="N767" i="4" s="1"/>
  <c r="E880" i="4" s="1"/>
  <c r="E29" i="4"/>
  <c r="H29" i="4" s="1"/>
  <c r="K29" i="4" s="1"/>
  <c r="N29" i="4" s="1"/>
  <c r="E141" i="4" s="1"/>
  <c r="G29" i="4"/>
  <c r="J29" i="4" s="1"/>
  <c r="M29" i="4" s="1"/>
  <c r="D141" i="4" s="1"/>
  <c r="E1264" i="4"/>
  <c r="H1264" i="4" s="1"/>
  <c r="K1264" i="4" s="1"/>
  <c r="N1264" i="4" s="1"/>
  <c r="E1377" i="4" s="1"/>
  <c r="G1264" i="4"/>
  <c r="J1264" i="4" s="1"/>
  <c r="M1264" i="4" s="1"/>
  <c r="D1377" i="4" s="1"/>
  <c r="G281" i="4"/>
  <c r="J281" i="4" s="1"/>
  <c r="M281" i="4" s="1"/>
  <c r="D397" i="4" s="1"/>
  <c r="E281" i="4"/>
  <c r="H281" i="4" s="1"/>
  <c r="K281" i="4" s="1"/>
  <c r="N281" i="4" s="1"/>
  <c r="E397" i="4" s="1"/>
  <c r="E1279" i="4"/>
  <c r="H1279" i="4" s="1"/>
  <c r="K1279" i="4" s="1"/>
  <c r="N1279" i="4" s="1"/>
  <c r="E1392" i="4" s="1"/>
  <c r="G1279" i="4"/>
  <c r="J1279" i="4" s="1"/>
  <c r="M1279" i="4" s="1"/>
  <c r="D1392" i="4" s="1"/>
  <c r="E26" i="5"/>
  <c r="F26" i="5"/>
  <c r="E191" i="5"/>
  <c r="F191" i="5"/>
  <c r="M59" i="2"/>
  <c r="T313" i="2"/>
  <c r="W313" i="2" s="1"/>
  <c r="V320" i="2"/>
  <c r="U320" i="2"/>
  <c r="K66" i="2" s="1"/>
  <c r="L66" i="2" s="1"/>
  <c r="U321" i="2"/>
  <c r="K67" i="2" s="1"/>
  <c r="V321" i="2"/>
  <c r="E190" i="5"/>
  <c r="F190" i="5"/>
  <c r="F45" i="5"/>
  <c r="E45" i="5"/>
  <c r="E43" i="5"/>
  <c r="F43" i="5"/>
  <c r="E1005" i="4"/>
  <c r="H1005" i="4" s="1"/>
  <c r="K1005" i="4" s="1"/>
  <c r="N1005" i="4" s="1"/>
  <c r="E1118" i="4" s="1"/>
  <c r="G1005" i="4"/>
  <c r="J1005" i="4" s="1"/>
  <c r="M1005" i="4" s="1"/>
  <c r="D1118" i="4" s="1"/>
  <c r="F1014" i="4"/>
  <c r="I1014" i="4" s="1"/>
  <c r="L1014" i="4" s="1"/>
  <c r="C1127" i="4" s="1"/>
  <c r="J1163" i="4" s="1"/>
  <c r="D1014" i="4"/>
  <c r="F1006" i="4"/>
  <c r="I1006" i="4" s="1"/>
  <c r="L1006" i="4" s="1"/>
  <c r="C1119" i="4" s="1"/>
  <c r="J1155" i="4" s="1"/>
  <c r="D1006" i="4"/>
  <c r="D1282" i="4"/>
  <c r="F1282" i="4"/>
  <c r="I1282" i="4" s="1"/>
  <c r="L1282" i="4" s="1"/>
  <c r="C1395" i="4" s="1"/>
  <c r="J1431" i="4" s="1"/>
  <c r="D53" i="4"/>
  <c r="F53" i="4"/>
  <c r="I53" i="4" s="1"/>
  <c r="L53" i="4" s="1"/>
  <c r="C165" i="4" s="1"/>
  <c r="J202" i="4" s="1"/>
  <c r="D546" i="4"/>
  <c r="F546" i="4"/>
  <c r="I546" i="4" s="1"/>
  <c r="L546" i="4" s="1"/>
  <c r="C659" i="4" s="1"/>
  <c r="J695" i="4" s="1"/>
  <c r="D46" i="4"/>
  <c r="F46" i="4"/>
  <c r="I46" i="4" s="1"/>
  <c r="L46" i="4" s="1"/>
  <c r="C158" i="4" s="1"/>
  <c r="J195" i="4" s="1"/>
  <c r="F1275" i="4"/>
  <c r="I1275" i="4" s="1"/>
  <c r="L1275" i="4" s="1"/>
  <c r="C1388" i="4" s="1"/>
  <c r="J1424" i="4" s="1"/>
  <c r="D1275" i="4"/>
  <c r="F292" i="4"/>
  <c r="I292" i="4" s="1"/>
  <c r="L292" i="4" s="1"/>
  <c r="C408" i="4" s="1"/>
  <c r="J444" i="4" s="1"/>
  <c r="D292" i="4"/>
  <c r="F181" i="5"/>
  <c r="E181" i="5"/>
  <c r="D1502" i="4"/>
  <c r="F1502" i="4"/>
  <c r="I1502" i="4" s="1"/>
  <c r="L1502" i="4" s="1"/>
  <c r="C1615" i="4" s="1"/>
  <c r="J1651" i="4" s="1"/>
  <c r="F765" i="4"/>
  <c r="I765" i="4" s="1"/>
  <c r="L765" i="4" s="1"/>
  <c r="C878" i="4" s="1"/>
  <c r="J914" i="4" s="1"/>
  <c r="D765" i="4"/>
  <c r="F1256" i="4"/>
  <c r="I1256" i="4" s="1"/>
  <c r="L1256" i="4" s="1"/>
  <c r="C1369" i="4" s="1"/>
  <c r="J1405" i="4" s="1"/>
  <c r="D1256" i="4"/>
  <c r="D519" i="4"/>
  <c r="F519" i="4"/>
  <c r="I519" i="4" s="1"/>
  <c r="L519" i="4" s="1"/>
  <c r="C632" i="4" s="1"/>
  <c r="J668" i="4" s="1"/>
  <c r="D272" i="4"/>
  <c r="F272" i="4"/>
  <c r="I272" i="4" s="1"/>
  <c r="L272" i="4" s="1"/>
  <c r="C388" i="4" s="1"/>
  <c r="J424" i="4" s="1"/>
  <c r="D1501" i="4"/>
  <c r="F1501" i="4"/>
  <c r="I1501" i="4" s="1"/>
  <c r="L1501" i="4" s="1"/>
  <c r="C1614" i="4" s="1"/>
  <c r="J1650" i="4" s="1"/>
  <c r="E189" i="5"/>
  <c r="F189" i="5"/>
  <c r="F178" i="5"/>
  <c r="E178" i="5"/>
  <c r="F186" i="5"/>
  <c r="E186" i="5"/>
  <c r="E173" i="5"/>
  <c r="F173" i="5"/>
  <c r="F198" i="5"/>
  <c r="E198" i="5"/>
  <c r="E188" i="5"/>
  <c r="F188" i="5"/>
  <c r="I369" i="7"/>
  <c r="L369" i="7" s="1"/>
  <c r="I83" i="1"/>
  <c r="K50" i="7"/>
  <c r="I384" i="7"/>
  <c r="L384" i="7" s="1"/>
  <c r="I84" i="1"/>
  <c r="K51" i="7"/>
  <c r="I380" i="7"/>
  <c r="L380" i="7" s="1"/>
  <c r="I97" i="1"/>
  <c r="K64" i="7"/>
  <c r="G1253" i="4"/>
  <c r="J1253" i="4" s="1"/>
  <c r="M1253" i="4" s="1"/>
  <c r="D1366" i="4" s="1"/>
  <c r="E1253" i="4"/>
  <c r="H1253" i="4" s="1"/>
  <c r="K1253" i="4" s="1"/>
  <c r="N1253" i="4" s="1"/>
  <c r="E1366" i="4" s="1"/>
  <c r="G1499" i="4"/>
  <c r="J1499" i="4" s="1"/>
  <c r="M1499" i="4" s="1"/>
  <c r="D1612" i="4" s="1"/>
  <c r="E1499" i="4"/>
  <c r="H1499" i="4" s="1"/>
  <c r="K1499" i="4" s="1"/>
  <c r="N1499" i="4" s="1"/>
  <c r="E1612" i="4" s="1"/>
  <c r="E527" i="4"/>
  <c r="H527" i="4" s="1"/>
  <c r="K527" i="4" s="1"/>
  <c r="N527" i="4" s="1"/>
  <c r="E640" i="4" s="1"/>
  <c r="G527" i="4"/>
  <c r="J527" i="4" s="1"/>
  <c r="M527" i="4" s="1"/>
  <c r="D640" i="4" s="1"/>
  <c r="E291" i="4"/>
  <c r="H291" i="4" s="1"/>
  <c r="K291" i="4" s="1"/>
  <c r="N291" i="4" s="1"/>
  <c r="E407" i="4" s="1"/>
  <c r="G291" i="4"/>
  <c r="J291" i="4" s="1"/>
  <c r="M291" i="4" s="1"/>
  <c r="D407" i="4" s="1"/>
  <c r="E1520" i="4"/>
  <c r="H1520" i="4" s="1"/>
  <c r="K1520" i="4" s="1"/>
  <c r="N1520" i="4" s="1"/>
  <c r="E1633" i="4" s="1"/>
  <c r="G1520" i="4"/>
  <c r="J1520" i="4" s="1"/>
  <c r="M1520" i="4" s="1"/>
  <c r="D1633" i="4" s="1"/>
  <c r="G278" i="4"/>
  <c r="J278" i="4" s="1"/>
  <c r="M278" i="4" s="1"/>
  <c r="D394" i="4" s="1"/>
  <c r="E278" i="4"/>
  <c r="H278" i="4" s="1"/>
  <c r="K278" i="4" s="1"/>
  <c r="N278" i="4" s="1"/>
  <c r="E394" i="4" s="1"/>
  <c r="E1261" i="4"/>
  <c r="H1261" i="4" s="1"/>
  <c r="K1261" i="4" s="1"/>
  <c r="N1261" i="4" s="1"/>
  <c r="E1374" i="4" s="1"/>
  <c r="G1261" i="4"/>
  <c r="J1261" i="4" s="1"/>
  <c r="M1261" i="4" s="1"/>
  <c r="D1374" i="4" s="1"/>
  <c r="E51" i="4"/>
  <c r="H51" i="4" s="1"/>
  <c r="K51" i="4" s="1"/>
  <c r="N51" i="4" s="1"/>
  <c r="E163" i="4" s="1"/>
  <c r="G51" i="4"/>
  <c r="J51" i="4" s="1"/>
  <c r="M51" i="4" s="1"/>
  <c r="D163" i="4" s="1"/>
  <c r="E1280" i="4"/>
  <c r="H1280" i="4" s="1"/>
  <c r="K1280" i="4" s="1"/>
  <c r="N1280" i="4" s="1"/>
  <c r="E1393" i="4" s="1"/>
  <c r="G1280" i="4"/>
  <c r="J1280" i="4" s="1"/>
  <c r="M1280" i="4" s="1"/>
  <c r="D1393" i="4" s="1"/>
  <c r="E1526" i="4"/>
  <c r="H1526" i="4" s="1"/>
  <c r="K1526" i="4" s="1"/>
  <c r="N1526" i="4" s="1"/>
  <c r="E1639" i="4" s="1"/>
  <c r="G1526" i="4"/>
  <c r="J1526" i="4" s="1"/>
  <c r="M1526" i="4" s="1"/>
  <c r="D1639" i="4" s="1"/>
  <c r="E1512" i="4"/>
  <c r="H1512" i="4" s="1"/>
  <c r="K1512" i="4" s="1"/>
  <c r="N1512" i="4" s="1"/>
  <c r="E1625" i="4" s="1"/>
  <c r="G1512" i="4"/>
  <c r="J1512" i="4" s="1"/>
  <c r="M1512" i="4" s="1"/>
  <c r="D1625" i="4" s="1"/>
  <c r="G530" i="4"/>
  <c r="J530" i="4" s="1"/>
  <c r="M530" i="4" s="1"/>
  <c r="D643" i="4" s="1"/>
  <c r="E530" i="4"/>
  <c r="H530" i="4" s="1"/>
  <c r="K530" i="4" s="1"/>
  <c r="N530" i="4" s="1"/>
  <c r="E643" i="4" s="1"/>
  <c r="E1508" i="4"/>
  <c r="H1508" i="4" s="1"/>
  <c r="K1508" i="4" s="1"/>
  <c r="N1508" i="4" s="1"/>
  <c r="E1621" i="4" s="1"/>
  <c r="G1508" i="4"/>
  <c r="J1508" i="4" s="1"/>
  <c r="M1508" i="4" s="1"/>
  <c r="D1621" i="4" s="1"/>
  <c r="E547" i="4"/>
  <c r="H547" i="4" s="1"/>
  <c r="K547" i="4" s="1"/>
  <c r="N547" i="4" s="1"/>
  <c r="E660" i="4" s="1"/>
  <c r="G547" i="4"/>
  <c r="J547" i="4" s="1"/>
  <c r="M547" i="4" s="1"/>
  <c r="D660" i="4" s="1"/>
  <c r="E1283" i="4"/>
  <c r="H1283" i="4" s="1"/>
  <c r="K1283" i="4" s="1"/>
  <c r="N1283" i="4" s="1"/>
  <c r="E1396" i="4" s="1"/>
  <c r="G1283" i="4"/>
  <c r="J1283" i="4" s="1"/>
  <c r="M1283" i="4" s="1"/>
  <c r="D1396" i="4" s="1"/>
  <c r="G288" i="4"/>
  <c r="J288" i="4" s="1"/>
  <c r="M288" i="4" s="1"/>
  <c r="D404" i="4" s="1"/>
  <c r="E288" i="4"/>
  <c r="H288" i="4" s="1"/>
  <c r="K288" i="4" s="1"/>
  <c r="N288" i="4" s="1"/>
  <c r="E404" i="4" s="1"/>
  <c r="E1271" i="4"/>
  <c r="H1271" i="4" s="1"/>
  <c r="K1271" i="4" s="1"/>
  <c r="N1271" i="4" s="1"/>
  <c r="E1384" i="4" s="1"/>
  <c r="G1271" i="4"/>
  <c r="J1271" i="4" s="1"/>
  <c r="M1271" i="4" s="1"/>
  <c r="D1384" i="4" s="1"/>
  <c r="E763" i="4"/>
  <c r="H763" i="4" s="1"/>
  <c r="K763" i="4" s="1"/>
  <c r="N763" i="4" s="1"/>
  <c r="E876" i="4" s="1"/>
  <c r="G763" i="4"/>
  <c r="J763" i="4" s="1"/>
  <c r="M763" i="4" s="1"/>
  <c r="D876" i="4" s="1"/>
  <c r="E268" i="4"/>
  <c r="H268" i="4" s="1"/>
  <c r="K268" i="4" s="1"/>
  <c r="N268" i="4" s="1"/>
  <c r="E384" i="4" s="1"/>
  <c r="G268" i="4"/>
  <c r="J268" i="4" s="1"/>
  <c r="M268" i="4" s="1"/>
  <c r="D384" i="4" s="1"/>
  <c r="G1251" i="4"/>
  <c r="J1251" i="4" s="1"/>
  <c r="M1251" i="4" s="1"/>
  <c r="D1364" i="4" s="1"/>
  <c r="E1251" i="4"/>
  <c r="H1251" i="4" s="1"/>
  <c r="K1251" i="4" s="1"/>
  <c r="N1251" i="4" s="1"/>
  <c r="E1364" i="4" s="1"/>
  <c r="E522" i="4"/>
  <c r="H522" i="4" s="1"/>
  <c r="K522" i="4" s="1"/>
  <c r="N522" i="4" s="1"/>
  <c r="E635" i="4" s="1"/>
  <c r="G522" i="4"/>
  <c r="J522" i="4" s="1"/>
  <c r="M522" i="4" s="1"/>
  <c r="D635" i="4" s="1"/>
  <c r="G275" i="4"/>
  <c r="J275" i="4" s="1"/>
  <c r="M275" i="4" s="1"/>
  <c r="D391" i="4" s="1"/>
  <c r="E275" i="4"/>
  <c r="H275" i="4" s="1"/>
  <c r="K275" i="4" s="1"/>
  <c r="N275" i="4" s="1"/>
  <c r="E391" i="4" s="1"/>
  <c r="E1510" i="4"/>
  <c r="H1510" i="4" s="1"/>
  <c r="K1510" i="4" s="1"/>
  <c r="N1510" i="4" s="1"/>
  <c r="E1623" i="4" s="1"/>
  <c r="G1510" i="4"/>
  <c r="J1510" i="4" s="1"/>
  <c r="M1510" i="4" s="1"/>
  <c r="D1623" i="4" s="1"/>
  <c r="G339" i="3"/>
  <c r="M51" i="3" s="1"/>
  <c r="K51" i="3"/>
  <c r="G347" i="3"/>
  <c r="M59" i="3" s="1"/>
  <c r="K59" i="3"/>
  <c r="G50" i="4"/>
  <c r="J50" i="4" s="1"/>
  <c r="M50" i="4" s="1"/>
  <c r="D162" i="4" s="1"/>
  <c r="E50" i="4"/>
  <c r="H50" i="4" s="1"/>
  <c r="K50" i="4" s="1"/>
  <c r="N50" i="4" s="1"/>
  <c r="E162" i="4" s="1"/>
  <c r="G1525" i="4"/>
  <c r="J1525" i="4" s="1"/>
  <c r="M1525" i="4" s="1"/>
  <c r="D1638" i="4" s="1"/>
  <c r="E1525" i="4"/>
  <c r="H1525" i="4" s="1"/>
  <c r="K1525" i="4" s="1"/>
  <c r="N1525" i="4" s="1"/>
  <c r="E1638" i="4" s="1"/>
  <c r="D1007" i="4"/>
  <c r="F1007" i="4"/>
  <c r="I1007" i="4" s="1"/>
  <c r="L1007" i="4" s="1"/>
  <c r="C1120" i="4" s="1"/>
  <c r="J1156" i="4" s="1"/>
  <c r="F30" i="4"/>
  <c r="I30" i="4" s="1"/>
  <c r="L30" i="4" s="1"/>
  <c r="C142" i="4" s="1"/>
  <c r="J179" i="4" s="1"/>
  <c r="D30" i="4"/>
  <c r="F1259" i="4"/>
  <c r="I1259" i="4" s="1"/>
  <c r="L1259" i="4" s="1"/>
  <c r="C1372" i="4" s="1"/>
  <c r="J1408" i="4" s="1"/>
  <c r="D1259" i="4"/>
  <c r="F523" i="4"/>
  <c r="I523" i="4" s="1"/>
  <c r="L523" i="4" s="1"/>
  <c r="C636" i="4" s="1"/>
  <c r="J672" i="4" s="1"/>
  <c r="D523" i="4"/>
  <c r="D41" i="4"/>
  <c r="F41" i="4"/>
  <c r="I41" i="4" s="1"/>
  <c r="L41" i="4" s="1"/>
  <c r="C153" i="4" s="1"/>
  <c r="J190" i="4" s="1"/>
  <c r="F287" i="4"/>
  <c r="I287" i="4" s="1"/>
  <c r="L287" i="4" s="1"/>
  <c r="C403" i="4" s="1"/>
  <c r="J439" i="4" s="1"/>
  <c r="D287" i="4"/>
  <c r="D1516" i="4"/>
  <c r="F1516" i="4"/>
  <c r="I1516" i="4" s="1"/>
  <c r="L1516" i="4" s="1"/>
  <c r="C1629" i="4" s="1"/>
  <c r="J1665" i="4" s="1"/>
  <c r="G389" i="3"/>
  <c r="M102" i="3" s="1"/>
  <c r="K102" i="3"/>
  <c r="L102" i="3" s="1"/>
  <c r="G354" i="3"/>
  <c r="M66" i="3" s="1"/>
  <c r="K66" i="3"/>
  <c r="G370" i="3"/>
  <c r="M83" i="3" s="1"/>
  <c r="K83" i="3"/>
  <c r="L83" i="3" s="1"/>
  <c r="T312" i="2"/>
  <c r="W312" i="2" s="1"/>
  <c r="M58" i="2"/>
  <c r="U311" i="2"/>
  <c r="K57" i="2" s="1"/>
  <c r="V311" i="2"/>
  <c r="I379" i="7"/>
  <c r="L379" i="7" s="1"/>
  <c r="I100" i="1"/>
  <c r="K67" i="7"/>
  <c r="I78" i="1"/>
  <c r="K45" i="7"/>
  <c r="I366" i="7"/>
  <c r="L366" i="7" s="1"/>
  <c r="I99" i="1"/>
  <c r="K66" i="7"/>
  <c r="I362" i="7"/>
  <c r="L362" i="7" s="1"/>
  <c r="I103" i="1"/>
  <c r="K70" i="7"/>
  <c r="I391" i="7"/>
  <c r="L391" i="7" s="1"/>
  <c r="I392" i="7"/>
  <c r="L392" i="7" s="1"/>
  <c r="I77" i="1"/>
  <c r="K44" i="7"/>
  <c r="I365" i="7"/>
  <c r="L365" i="7" s="1"/>
  <c r="I93" i="1"/>
  <c r="K60" i="7"/>
  <c r="I378" i="7"/>
  <c r="L378" i="7" s="1"/>
  <c r="K49" i="7"/>
  <c r="I82" i="1"/>
  <c r="I373" i="7"/>
  <c r="L373" i="7" s="1"/>
  <c r="G30" i="5"/>
  <c r="B104" i="5" s="1"/>
  <c r="D104" i="5" s="1"/>
  <c r="G47" i="5"/>
  <c r="B121" i="5" s="1"/>
  <c r="D121" i="5" s="1"/>
  <c r="G33" i="5"/>
  <c r="B107" i="5" s="1"/>
  <c r="D107" i="5" s="1"/>
  <c r="G183" i="5"/>
  <c r="B257" i="5" s="1"/>
  <c r="D257" i="5" s="1"/>
  <c r="G21" i="5"/>
  <c r="B95" i="5" s="1"/>
  <c r="D95" i="5" s="1"/>
  <c r="G172" i="5"/>
  <c r="B246" i="5" s="1"/>
  <c r="D246" i="5" s="1"/>
  <c r="G46" i="5"/>
  <c r="B120" i="5" s="1"/>
  <c r="D120" i="5" s="1"/>
  <c r="G20" i="5"/>
  <c r="B94" i="5" s="1"/>
  <c r="D94" i="5" s="1"/>
  <c r="G187" i="5"/>
  <c r="B261" i="5" s="1"/>
  <c r="D261" i="5" s="1"/>
  <c r="G29" i="5"/>
  <c r="B103" i="5" s="1"/>
  <c r="D103" i="5" s="1"/>
  <c r="G204" i="5"/>
  <c r="B278" i="5" s="1"/>
  <c r="D278" i="5" s="1"/>
  <c r="G179" i="5"/>
  <c r="B253" i="5" s="1"/>
  <c r="D253" i="5" s="1"/>
  <c r="R318" i="2"/>
  <c r="D1011" i="4" l="1"/>
  <c r="E538" i="4"/>
  <c r="H538" i="4" s="1"/>
  <c r="K538" i="4" s="1"/>
  <c r="N538" i="4" s="1"/>
  <c r="E651" i="4" s="1"/>
  <c r="F42" i="5"/>
  <c r="L67" i="2"/>
  <c r="F1009" i="4"/>
  <c r="I1009" i="4" s="1"/>
  <c r="L1009" i="4" s="1"/>
  <c r="C1122" i="4" s="1"/>
  <c r="J1158" i="4" s="1"/>
  <c r="J24" i="5"/>
  <c r="J178" i="5" s="1"/>
  <c r="K178" i="5" s="1"/>
  <c r="L178" i="5" s="1"/>
  <c r="V317" i="2"/>
  <c r="U314" i="2"/>
  <c r="K60" i="2" s="1"/>
  <c r="L60" i="2" s="1"/>
  <c r="F41" i="5"/>
  <c r="G41" i="5" s="1"/>
  <c r="B115" i="5" s="1"/>
  <c r="D115" i="5" s="1"/>
  <c r="V310" i="2"/>
  <c r="V312" i="2"/>
  <c r="B62" i="4"/>
  <c r="C62" i="4" s="1"/>
  <c r="J40" i="5"/>
  <c r="K40" i="5" s="1"/>
  <c r="L40" i="5" s="1"/>
  <c r="D1272" i="4"/>
  <c r="F1272" i="4"/>
  <c r="I1272" i="4" s="1"/>
  <c r="L1272" i="4" s="1"/>
  <c r="C1385" i="4" s="1"/>
  <c r="J1421" i="4" s="1"/>
  <c r="L62" i="2"/>
  <c r="V313" i="2"/>
  <c r="D1518" i="4"/>
  <c r="F1518" i="4"/>
  <c r="I1518" i="4" s="1"/>
  <c r="L1518" i="4" s="1"/>
  <c r="C1631" i="4" s="1"/>
  <c r="J1667" i="4" s="1"/>
  <c r="F781" i="4"/>
  <c r="I781" i="4" s="1"/>
  <c r="L781" i="4" s="1"/>
  <c r="C894" i="4" s="1"/>
  <c r="J930" i="4" s="1"/>
  <c r="D781" i="4"/>
  <c r="F39" i="5"/>
  <c r="E39" i="5"/>
  <c r="F43" i="4"/>
  <c r="I43" i="4" s="1"/>
  <c r="L43" i="4" s="1"/>
  <c r="C155" i="4" s="1"/>
  <c r="J192" i="4" s="1"/>
  <c r="D43" i="4"/>
  <c r="F289" i="4"/>
  <c r="I289" i="4" s="1"/>
  <c r="L289" i="4" s="1"/>
  <c r="C405" i="4" s="1"/>
  <c r="J441" i="4" s="1"/>
  <c r="D289" i="4"/>
  <c r="E193" i="5"/>
  <c r="F193" i="5"/>
  <c r="D536" i="4"/>
  <c r="F536" i="4"/>
  <c r="I536" i="4" s="1"/>
  <c r="L536" i="4" s="1"/>
  <c r="C649" i="4" s="1"/>
  <c r="J685" i="4" s="1"/>
  <c r="J32" i="5"/>
  <c r="J186" i="5" s="1"/>
  <c r="K186" i="5" s="1"/>
  <c r="L186" i="5" s="1"/>
  <c r="B59" i="4"/>
  <c r="B798" i="4" s="1"/>
  <c r="C798" i="4" s="1"/>
  <c r="V325" i="2"/>
  <c r="L56" i="2"/>
  <c r="F1519" i="4"/>
  <c r="I1519" i="4" s="1"/>
  <c r="L1519" i="4" s="1"/>
  <c r="C1632" i="4" s="1"/>
  <c r="J1668" i="4" s="1"/>
  <c r="D1519" i="4"/>
  <c r="D52" i="4"/>
  <c r="F52" i="4"/>
  <c r="I52" i="4" s="1"/>
  <c r="L52" i="4" s="1"/>
  <c r="C164" i="4" s="1"/>
  <c r="J201" i="4" s="1"/>
  <c r="G189" i="5"/>
  <c r="B263" i="5" s="1"/>
  <c r="D263" i="5" s="1"/>
  <c r="G26" i="5"/>
  <c r="B100" i="5" s="1"/>
  <c r="D100" i="5" s="1"/>
  <c r="F290" i="4"/>
  <c r="I290" i="4" s="1"/>
  <c r="L290" i="4" s="1"/>
  <c r="C406" i="4" s="1"/>
  <c r="J442" i="4" s="1"/>
  <c r="D290" i="4"/>
  <c r="D790" i="4"/>
  <c r="F790" i="4"/>
  <c r="I790" i="4" s="1"/>
  <c r="L790" i="4" s="1"/>
  <c r="C903" i="4" s="1"/>
  <c r="J939" i="4" s="1"/>
  <c r="L57" i="2"/>
  <c r="F1273" i="4"/>
  <c r="I1273" i="4" s="1"/>
  <c r="L1273" i="4" s="1"/>
  <c r="C1386" i="4" s="1"/>
  <c r="J1422" i="4" s="1"/>
  <c r="D1273" i="4"/>
  <c r="F537" i="4"/>
  <c r="I537" i="4" s="1"/>
  <c r="L537" i="4" s="1"/>
  <c r="C650" i="4" s="1"/>
  <c r="J686" i="4" s="1"/>
  <c r="D537" i="4"/>
  <c r="E40" i="5"/>
  <c r="F40" i="5"/>
  <c r="D298" i="4"/>
  <c r="F298" i="4"/>
  <c r="I298" i="4" s="1"/>
  <c r="L298" i="4" s="1"/>
  <c r="C414" i="4" s="1"/>
  <c r="J450" i="4" s="1"/>
  <c r="F1281" i="4"/>
  <c r="I1281" i="4" s="1"/>
  <c r="L1281" i="4" s="1"/>
  <c r="C1394" i="4" s="1"/>
  <c r="J1430" i="4" s="1"/>
  <c r="D1281" i="4"/>
  <c r="D44" i="4"/>
  <c r="F44" i="4"/>
  <c r="I44" i="4" s="1"/>
  <c r="L44" i="4" s="1"/>
  <c r="C156" i="4" s="1"/>
  <c r="J193" i="4" s="1"/>
  <c r="E48" i="5"/>
  <c r="F48" i="5"/>
  <c r="G173" i="5"/>
  <c r="B247" i="5" s="1"/>
  <c r="D247" i="5" s="1"/>
  <c r="G43" i="5"/>
  <c r="B117" i="5" s="1"/>
  <c r="D117" i="5" s="1"/>
  <c r="F1527" i="4"/>
  <c r="I1527" i="4" s="1"/>
  <c r="L1527" i="4" s="1"/>
  <c r="C1640" i="4" s="1"/>
  <c r="J1676" i="4" s="1"/>
  <c r="D1527" i="4"/>
  <c r="F194" i="5"/>
  <c r="E194" i="5"/>
  <c r="G188" i="5"/>
  <c r="B262" i="5" s="1"/>
  <c r="D262" i="5" s="1"/>
  <c r="G190" i="5"/>
  <c r="B264" i="5" s="1"/>
  <c r="D264" i="5" s="1"/>
  <c r="G191" i="5"/>
  <c r="B265" i="5" s="1"/>
  <c r="D265" i="5" s="1"/>
  <c r="D782" i="4"/>
  <c r="F782" i="4"/>
  <c r="I782" i="4" s="1"/>
  <c r="L782" i="4" s="1"/>
  <c r="C895" i="4" s="1"/>
  <c r="J931" i="4" s="1"/>
  <c r="F545" i="4"/>
  <c r="I545" i="4" s="1"/>
  <c r="L545" i="4" s="1"/>
  <c r="C658" i="4" s="1"/>
  <c r="J694" i="4" s="1"/>
  <c r="D545" i="4"/>
  <c r="E202" i="5"/>
  <c r="F202" i="5"/>
  <c r="M129" i="6"/>
  <c r="V341" i="2"/>
  <c r="U341" i="2"/>
  <c r="K89" i="2" s="1"/>
  <c r="G48" i="1"/>
  <c r="L13" i="2"/>
  <c r="H48" i="1" s="1"/>
  <c r="B1015" i="4" s="1"/>
  <c r="C1015" i="4" s="1"/>
  <c r="Q271" i="2"/>
  <c r="R271" i="2" s="1"/>
  <c r="X271" i="2"/>
  <c r="S343" i="2"/>
  <c r="P343" i="2" s="1"/>
  <c r="S273" i="2"/>
  <c r="P272" i="2"/>
  <c r="V270" i="2"/>
  <c r="U270" i="2"/>
  <c r="K14" i="2" s="1"/>
  <c r="L88" i="2"/>
  <c r="H118" i="1" s="1"/>
  <c r="G118" i="1"/>
  <c r="C135" i="4"/>
  <c r="J172" i="4" s="1"/>
  <c r="T341" i="2"/>
  <c r="W341" i="2" s="1"/>
  <c r="M89" i="2"/>
  <c r="Q342" i="2"/>
  <c r="R342" i="2" s="1"/>
  <c r="X342" i="2"/>
  <c r="T270" i="2"/>
  <c r="W270" i="2" s="1"/>
  <c r="M14" i="2"/>
  <c r="G176" i="5"/>
  <c r="B250" i="5" s="1"/>
  <c r="D250" i="5" s="1"/>
  <c r="G19" i="5"/>
  <c r="B93" i="5" s="1"/>
  <c r="D93" i="5" s="1"/>
  <c r="G32" i="5"/>
  <c r="B106" i="5" s="1"/>
  <c r="D106" i="5" s="1"/>
  <c r="G24" i="5"/>
  <c r="B98" i="5" s="1"/>
  <c r="D98" i="5" s="1"/>
  <c r="G199" i="5"/>
  <c r="B273" i="5" s="1"/>
  <c r="D273" i="5" s="1"/>
  <c r="M390" i="7"/>
  <c r="L69" i="7" s="1"/>
  <c r="J102" i="1" s="1"/>
  <c r="B88" i="4" s="1"/>
  <c r="M368" i="7"/>
  <c r="L47" i="7" s="1"/>
  <c r="J80" i="1" s="1"/>
  <c r="J25" i="5" s="1"/>
  <c r="E1516" i="4"/>
  <c r="H1516" i="4" s="1"/>
  <c r="K1516" i="4" s="1"/>
  <c r="N1516" i="4" s="1"/>
  <c r="E1629" i="4" s="1"/>
  <c r="G1516" i="4"/>
  <c r="J1516" i="4" s="1"/>
  <c r="M1516" i="4" s="1"/>
  <c r="D1629" i="4" s="1"/>
  <c r="G1007" i="4"/>
  <c r="J1007" i="4" s="1"/>
  <c r="M1007" i="4" s="1"/>
  <c r="D1120" i="4" s="1"/>
  <c r="E1007" i="4"/>
  <c r="H1007" i="4" s="1"/>
  <c r="K1007" i="4" s="1"/>
  <c r="N1007" i="4" s="1"/>
  <c r="E1120" i="4" s="1"/>
  <c r="G1011" i="4"/>
  <c r="J1011" i="4" s="1"/>
  <c r="M1011" i="4" s="1"/>
  <c r="D1124" i="4" s="1"/>
  <c r="E1011" i="4"/>
  <c r="H1011" i="4" s="1"/>
  <c r="K1011" i="4" s="1"/>
  <c r="N1011" i="4" s="1"/>
  <c r="E1124" i="4" s="1"/>
  <c r="E1501" i="4"/>
  <c r="H1501" i="4" s="1"/>
  <c r="K1501" i="4" s="1"/>
  <c r="N1501" i="4" s="1"/>
  <c r="E1614" i="4" s="1"/>
  <c r="G1501" i="4"/>
  <c r="J1501" i="4" s="1"/>
  <c r="M1501" i="4" s="1"/>
  <c r="D1614" i="4" s="1"/>
  <c r="E272" i="4"/>
  <c r="H272" i="4" s="1"/>
  <c r="K272" i="4" s="1"/>
  <c r="N272" i="4" s="1"/>
  <c r="E388" i="4" s="1"/>
  <c r="G272" i="4"/>
  <c r="J272" i="4" s="1"/>
  <c r="M272" i="4" s="1"/>
  <c r="D388" i="4" s="1"/>
  <c r="G519" i="4"/>
  <c r="J519" i="4" s="1"/>
  <c r="M519" i="4" s="1"/>
  <c r="D632" i="4" s="1"/>
  <c r="E519" i="4"/>
  <c r="H519" i="4" s="1"/>
  <c r="K519" i="4" s="1"/>
  <c r="N519" i="4" s="1"/>
  <c r="E632" i="4" s="1"/>
  <c r="E1502" i="4"/>
  <c r="H1502" i="4" s="1"/>
  <c r="K1502" i="4" s="1"/>
  <c r="N1502" i="4" s="1"/>
  <c r="E1615" i="4" s="1"/>
  <c r="G1502" i="4"/>
  <c r="J1502" i="4" s="1"/>
  <c r="M1502" i="4" s="1"/>
  <c r="D1615" i="4" s="1"/>
  <c r="G46" i="4"/>
  <c r="J46" i="4" s="1"/>
  <c r="M46" i="4" s="1"/>
  <c r="D158" i="4" s="1"/>
  <c r="E46" i="4"/>
  <c r="H46" i="4" s="1"/>
  <c r="K46" i="4" s="1"/>
  <c r="N46" i="4" s="1"/>
  <c r="E158" i="4" s="1"/>
  <c r="E546" i="4"/>
  <c r="H546" i="4" s="1"/>
  <c r="K546" i="4" s="1"/>
  <c r="N546" i="4" s="1"/>
  <c r="E659" i="4" s="1"/>
  <c r="G546" i="4"/>
  <c r="J546" i="4" s="1"/>
  <c r="M546" i="4" s="1"/>
  <c r="D659" i="4" s="1"/>
  <c r="E53" i="4"/>
  <c r="H53" i="4" s="1"/>
  <c r="K53" i="4" s="1"/>
  <c r="N53" i="4" s="1"/>
  <c r="E165" i="4" s="1"/>
  <c r="G53" i="4"/>
  <c r="J53" i="4" s="1"/>
  <c r="M53" i="4" s="1"/>
  <c r="D165" i="4" s="1"/>
  <c r="E1282" i="4"/>
  <c r="H1282" i="4" s="1"/>
  <c r="K1282" i="4" s="1"/>
  <c r="N1282" i="4" s="1"/>
  <c r="E1395" i="4" s="1"/>
  <c r="G1282" i="4"/>
  <c r="J1282" i="4" s="1"/>
  <c r="M1282" i="4" s="1"/>
  <c r="D1395" i="4" s="1"/>
  <c r="G38" i="4"/>
  <c r="J38" i="4" s="1"/>
  <c r="M38" i="4" s="1"/>
  <c r="D150" i="4" s="1"/>
  <c r="E38" i="4"/>
  <c r="H38" i="4" s="1"/>
  <c r="K38" i="4" s="1"/>
  <c r="N38" i="4" s="1"/>
  <c r="E150" i="4" s="1"/>
  <c r="G1267" i="4"/>
  <c r="J1267" i="4" s="1"/>
  <c r="M1267" i="4" s="1"/>
  <c r="D1380" i="4" s="1"/>
  <c r="E1267" i="4"/>
  <c r="H1267" i="4" s="1"/>
  <c r="K1267" i="4" s="1"/>
  <c r="N1267" i="4" s="1"/>
  <c r="E1380" i="4" s="1"/>
  <c r="G48" i="4"/>
  <c r="J48" i="4" s="1"/>
  <c r="M48" i="4" s="1"/>
  <c r="D160" i="4" s="1"/>
  <c r="E48" i="4"/>
  <c r="H48" i="4" s="1"/>
  <c r="K48" i="4" s="1"/>
  <c r="N48" i="4" s="1"/>
  <c r="E160" i="4" s="1"/>
  <c r="G541" i="4"/>
  <c r="J541" i="4" s="1"/>
  <c r="M541" i="4" s="1"/>
  <c r="D654" i="4" s="1"/>
  <c r="E541" i="4"/>
  <c r="H541" i="4" s="1"/>
  <c r="K541" i="4" s="1"/>
  <c r="N541" i="4" s="1"/>
  <c r="E654" i="4" s="1"/>
  <c r="E1252" i="4"/>
  <c r="H1252" i="4" s="1"/>
  <c r="K1252" i="4" s="1"/>
  <c r="N1252" i="4" s="1"/>
  <c r="E1365" i="4" s="1"/>
  <c r="G1252" i="4"/>
  <c r="J1252" i="4" s="1"/>
  <c r="M1252" i="4" s="1"/>
  <c r="D1365" i="4" s="1"/>
  <c r="G1498" i="4"/>
  <c r="J1498" i="4" s="1"/>
  <c r="M1498" i="4" s="1"/>
  <c r="D1611" i="4" s="1"/>
  <c r="E1498" i="4"/>
  <c r="H1498" i="4" s="1"/>
  <c r="K1498" i="4" s="1"/>
  <c r="N1498" i="4" s="1"/>
  <c r="E1611" i="4" s="1"/>
  <c r="G529" i="4"/>
  <c r="J529" i="4" s="1"/>
  <c r="M529" i="4" s="1"/>
  <c r="D642" i="4" s="1"/>
  <c r="E529" i="4"/>
  <c r="H529" i="4" s="1"/>
  <c r="K529" i="4" s="1"/>
  <c r="N529" i="4" s="1"/>
  <c r="E642" i="4" s="1"/>
  <c r="G28" i="4"/>
  <c r="J28" i="4" s="1"/>
  <c r="M28" i="4" s="1"/>
  <c r="D140" i="4" s="1"/>
  <c r="E28" i="4"/>
  <c r="H28" i="4" s="1"/>
  <c r="K28" i="4" s="1"/>
  <c r="N28" i="4" s="1"/>
  <c r="E140" i="4" s="1"/>
  <c r="E39" i="4"/>
  <c r="H39" i="4" s="1"/>
  <c r="K39" i="4" s="1"/>
  <c r="N39" i="4" s="1"/>
  <c r="E151" i="4" s="1"/>
  <c r="G39" i="4"/>
  <c r="J39" i="4" s="1"/>
  <c r="M39" i="4" s="1"/>
  <c r="D151" i="4" s="1"/>
  <c r="G1506" i="4"/>
  <c r="J1506" i="4" s="1"/>
  <c r="M1506" i="4" s="1"/>
  <c r="D1619" i="4" s="1"/>
  <c r="E1506" i="4"/>
  <c r="H1506" i="4" s="1"/>
  <c r="K1506" i="4" s="1"/>
  <c r="N1506" i="4" s="1"/>
  <c r="E1619" i="4" s="1"/>
  <c r="E277" i="4"/>
  <c r="H277" i="4" s="1"/>
  <c r="K277" i="4" s="1"/>
  <c r="N277" i="4" s="1"/>
  <c r="E393" i="4" s="1"/>
  <c r="G277" i="4"/>
  <c r="J277" i="4" s="1"/>
  <c r="M277" i="4" s="1"/>
  <c r="D393" i="4" s="1"/>
  <c r="E1013" i="4"/>
  <c r="H1013" i="4" s="1"/>
  <c r="K1013" i="4" s="1"/>
  <c r="N1013" i="4" s="1"/>
  <c r="E1126" i="4" s="1"/>
  <c r="G1013" i="4"/>
  <c r="J1013" i="4" s="1"/>
  <c r="M1013" i="4" s="1"/>
  <c r="D1126" i="4" s="1"/>
  <c r="G293" i="4"/>
  <c r="J293" i="4" s="1"/>
  <c r="M293" i="4" s="1"/>
  <c r="D409" i="4" s="1"/>
  <c r="E293" i="4"/>
  <c r="H293" i="4" s="1"/>
  <c r="K293" i="4" s="1"/>
  <c r="N293" i="4" s="1"/>
  <c r="E409" i="4" s="1"/>
  <c r="G540" i="4"/>
  <c r="J540" i="4" s="1"/>
  <c r="M540" i="4" s="1"/>
  <c r="D653" i="4" s="1"/>
  <c r="E540" i="4"/>
  <c r="H540" i="4" s="1"/>
  <c r="K540" i="4" s="1"/>
  <c r="N540" i="4" s="1"/>
  <c r="E653" i="4" s="1"/>
  <c r="G47" i="4"/>
  <c r="J47" i="4" s="1"/>
  <c r="M47" i="4" s="1"/>
  <c r="D159" i="4" s="1"/>
  <c r="E47" i="4"/>
  <c r="H47" i="4" s="1"/>
  <c r="K47" i="4" s="1"/>
  <c r="N47" i="4" s="1"/>
  <c r="E159" i="4" s="1"/>
  <c r="E295" i="4"/>
  <c r="H295" i="4" s="1"/>
  <c r="K295" i="4" s="1"/>
  <c r="N295" i="4" s="1"/>
  <c r="E411" i="4" s="1"/>
  <c r="G295" i="4"/>
  <c r="J295" i="4" s="1"/>
  <c r="M295" i="4" s="1"/>
  <c r="D411" i="4" s="1"/>
  <c r="E778" i="4"/>
  <c r="H778" i="4" s="1"/>
  <c r="K778" i="4" s="1"/>
  <c r="N778" i="4" s="1"/>
  <c r="E891" i="4" s="1"/>
  <c r="G778" i="4"/>
  <c r="J778" i="4" s="1"/>
  <c r="M778" i="4" s="1"/>
  <c r="D891" i="4" s="1"/>
  <c r="E779" i="4"/>
  <c r="H779" i="4" s="1"/>
  <c r="K779" i="4" s="1"/>
  <c r="N779" i="4" s="1"/>
  <c r="E892" i="4" s="1"/>
  <c r="G779" i="4"/>
  <c r="J779" i="4" s="1"/>
  <c r="M779" i="4" s="1"/>
  <c r="D892" i="4" s="1"/>
  <c r="E276" i="4"/>
  <c r="H276" i="4" s="1"/>
  <c r="K276" i="4" s="1"/>
  <c r="N276" i="4" s="1"/>
  <c r="E392" i="4" s="1"/>
  <c r="G276" i="4"/>
  <c r="J276" i="4" s="1"/>
  <c r="M276" i="4" s="1"/>
  <c r="D392" i="4" s="1"/>
  <c r="E1255" i="4"/>
  <c r="H1255" i="4" s="1"/>
  <c r="K1255" i="4" s="1"/>
  <c r="N1255" i="4" s="1"/>
  <c r="E1368" i="4" s="1"/>
  <c r="G1255" i="4"/>
  <c r="J1255" i="4" s="1"/>
  <c r="M1255" i="4" s="1"/>
  <c r="D1368" i="4" s="1"/>
  <c r="E26" i="4"/>
  <c r="H26" i="4" s="1"/>
  <c r="K26" i="4" s="1"/>
  <c r="N26" i="4" s="1"/>
  <c r="E138" i="4" s="1"/>
  <c r="G26" i="4"/>
  <c r="J26" i="4" s="1"/>
  <c r="M26" i="4" s="1"/>
  <c r="D138" i="4" s="1"/>
  <c r="E520" i="4"/>
  <c r="H520" i="4" s="1"/>
  <c r="K520" i="4" s="1"/>
  <c r="N520" i="4" s="1"/>
  <c r="E633" i="4" s="1"/>
  <c r="G520" i="4"/>
  <c r="J520" i="4" s="1"/>
  <c r="M520" i="4" s="1"/>
  <c r="D633" i="4" s="1"/>
  <c r="L60" i="3"/>
  <c r="H93" i="1" s="1"/>
  <c r="G93" i="1"/>
  <c r="B1541" i="4"/>
  <c r="C1541" i="4" s="1"/>
  <c r="C65" i="4"/>
  <c r="B313" i="4"/>
  <c r="C313" i="4" s="1"/>
  <c r="B1049" i="4"/>
  <c r="C1049" i="4" s="1"/>
  <c r="B559" i="4"/>
  <c r="C559" i="4" s="1"/>
  <c r="B1295" i="4"/>
  <c r="C1295" i="4" s="1"/>
  <c r="B804" i="4"/>
  <c r="C804" i="4" s="1"/>
  <c r="L69" i="3"/>
  <c r="H102" i="1" s="1"/>
  <c r="G102" i="1"/>
  <c r="E1521" i="4"/>
  <c r="H1521" i="4" s="1"/>
  <c r="K1521" i="4" s="1"/>
  <c r="N1521" i="4" s="1"/>
  <c r="E1634" i="4" s="1"/>
  <c r="G1521" i="4"/>
  <c r="J1521" i="4" s="1"/>
  <c r="M1521" i="4" s="1"/>
  <c r="D1634" i="4" s="1"/>
  <c r="E299" i="4"/>
  <c r="H299" i="4" s="1"/>
  <c r="K299" i="4" s="1"/>
  <c r="N299" i="4" s="1"/>
  <c r="E415" i="4" s="1"/>
  <c r="G299" i="4"/>
  <c r="J299" i="4" s="1"/>
  <c r="M299" i="4" s="1"/>
  <c r="D415" i="4" s="1"/>
  <c r="E791" i="4"/>
  <c r="H791" i="4" s="1"/>
  <c r="K791" i="4" s="1"/>
  <c r="N791" i="4" s="1"/>
  <c r="E904" i="4" s="1"/>
  <c r="G791" i="4"/>
  <c r="J791" i="4" s="1"/>
  <c r="M791" i="4" s="1"/>
  <c r="D904" i="4" s="1"/>
  <c r="L42" i="3"/>
  <c r="H75" i="1" s="1"/>
  <c r="G75" i="1"/>
  <c r="L64" i="3"/>
  <c r="H97" i="1" s="1"/>
  <c r="G97" i="1"/>
  <c r="L47" i="3"/>
  <c r="H80" i="1" s="1"/>
  <c r="G80" i="1"/>
  <c r="L56" i="3"/>
  <c r="H89" i="1" s="1"/>
  <c r="G89" i="1"/>
  <c r="L50" i="3"/>
  <c r="H83" i="1" s="1"/>
  <c r="G83" i="1"/>
  <c r="L57" i="3"/>
  <c r="H90" i="1" s="1"/>
  <c r="G90" i="1"/>
  <c r="L68" i="3"/>
  <c r="H101" i="1" s="1"/>
  <c r="G101" i="1"/>
  <c r="L41" i="3"/>
  <c r="H74" i="1" s="1"/>
  <c r="G74" i="1"/>
  <c r="L70" i="3"/>
  <c r="H103" i="1" s="1"/>
  <c r="G103" i="1"/>
  <c r="L58" i="3"/>
  <c r="H91" i="1" s="1"/>
  <c r="G91" i="1"/>
  <c r="G1277" i="4"/>
  <c r="J1277" i="4" s="1"/>
  <c r="M1277" i="4" s="1"/>
  <c r="D1390" i="4" s="1"/>
  <c r="E1277" i="4"/>
  <c r="H1277" i="4" s="1"/>
  <c r="K1277" i="4" s="1"/>
  <c r="N1277" i="4" s="1"/>
  <c r="E1390" i="4" s="1"/>
  <c r="E294" i="4"/>
  <c r="H294" i="4" s="1"/>
  <c r="K294" i="4" s="1"/>
  <c r="N294" i="4" s="1"/>
  <c r="E410" i="4" s="1"/>
  <c r="G294" i="4"/>
  <c r="J294" i="4" s="1"/>
  <c r="M294" i="4" s="1"/>
  <c r="D410" i="4" s="1"/>
  <c r="E23" i="4"/>
  <c r="H23" i="4" s="1"/>
  <c r="K23" i="4" s="1"/>
  <c r="N23" i="4" s="1"/>
  <c r="E135" i="4" s="1"/>
  <c r="G23" i="4"/>
  <c r="J23" i="4" s="1"/>
  <c r="M23" i="4" s="1"/>
  <c r="D135" i="4" s="1"/>
  <c r="E516" i="4"/>
  <c r="H516" i="4" s="1"/>
  <c r="K516" i="4" s="1"/>
  <c r="N516" i="4" s="1"/>
  <c r="E629" i="4" s="1"/>
  <c r="G516" i="4"/>
  <c r="J516" i="4" s="1"/>
  <c r="M516" i="4" s="1"/>
  <c r="D629" i="4" s="1"/>
  <c r="E1265" i="4"/>
  <c r="H1265" i="4" s="1"/>
  <c r="K1265" i="4" s="1"/>
  <c r="N1265" i="4" s="1"/>
  <c r="E1378" i="4" s="1"/>
  <c r="G1265" i="4"/>
  <c r="J1265" i="4" s="1"/>
  <c r="M1265" i="4" s="1"/>
  <c r="D1378" i="4" s="1"/>
  <c r="E521" i="4"/>
  <c r="H521" i="4" s="1"/>
  <c r="K521" i="4" s="1"/>
  <c r="N521" i="4" s="1"/>
  <c r="E634" i="4" s="1"/>
  <c r="G521" i="4"/>
  <c r="J521" i="4" s="1"/>
  <c r="M521" i="4" s="1"/>
  <c r="D634" i="4" s="1"/>
  <c r="E1514" i="4"/>
  <c r="H1514" i="4" s="1"/>
  <c r="K1514" i="4" s="1"/>
  <c r="N1514" i="4" s="1"/>
  <c r="E1627" i="4" s="1"/>
  <c r="G1514" i="4"/>
  <c r="J1514" i="4" s="1"/>
  <c r="M1514" i="4" s="1"/>
  <c r="D1627" i="4" s="1"/>
  <c r="L44" i="3"/>
  <c r="H77" i="1" s="1"/>
  <c r="G77" i="1"/>
  <c r="E1522" i="4"/>
  <c r="H1522" i="4" s="1"/>
  <c r="K1522" i="4" s="1"/>
  <c r="N1522" i="4" s="1"/>
  <c r="E1635" i="4" s="1"/>
  <c r="G1522" i="4"/>
  <c r="J1522" i="4" s="1"/>
  <c r="M1522" i="4" s="1"/>
  <c r="D1635" i="4" s="1"/>
  <c r="E1276" i="4"/>
  <c r="H1276" i="4" s="1"/>
  <c r="K1276" i="4" s="1"/>
  <c r="N1276" i="4" s="1"/>
  <c r="E1389" i="4" s="1"/>
  <c r="G1276" i="4"/>
  <c r="J1276" i="4" s="1"/>
  <c r="M1276" i="4" s="1"/>
  <c r="D1389" i="4" s="1"/>
  <c r="E1524" i="4"/>
  <c r="H1524" i="4" s="1"/>
  <c r="K1524" i="4" s="1"/>
  <c r="N1524" i="4" s="1"/>
  <c r="E1637" i="4" s="1"/>
  <c r="G1524" i="4"/>
  <c r="J1524" i="4" s="1"/>
  <c r="M1524" i="4" s="1"/>
  <c r="D1637" i="4" s="1"/>
  <c r="E49" i="4"/>
  <c r="H49" i="4" s="1"/>
  <c r="K49" i="4" s="1"/>
  <c r="N49" i="4" s="1"/>
  <c r="E161" i="4" s="1"/>
  <c r="G49" i="4"/>
  <c r="J49" i="4" s="1"/>
  <c r="M49" i="4" s="1"/>
  <c r="D161" i="4" s="1"/>
  <c r="E1269" i="4"/>
  <c r="H1269" i="4" s="1"/>
  <c r="K1269" i="4" s="1"/>
  <c r="N1269" i="4" s="1"/>
  <c r="E1382" i="4" s="1"/>
  <c r="G1269" i="4"/>
  <c r="J1269" i="4" s="1"/>
  <c r="M1269" i="4" s="1"/>
  <c r="D1382" i="4" s="1"/>
  <c r="B1065" i="4"/>
  <c r="C1065" i="4" s="1"/>
  <c r="B1557" i="4"/>
  <c r="C1557" i="4" s="1"/>
  <c r="C81" i="4"/>
  <c r="B1311" i="4"/>
  <c r="C1311" i="4" s="1"/>
  <c r="B575" i="4"/>
  <c r="C575" i="4" s="1"/>
  <c r="B329" i="4"/>
  <c r="C329" i="4" s="1"/>
  <c r="B820" i="4"/>
  <c r="C820" i="4" s="1"/>
  <c r="B1057" i="4"/>
  <c r="C1057" i="4" s="1"/>
  <c r="B567" i="4"/>
  <c r="C567" i="4" s="1"/>
  <c r="B812" i="4"/>
  <c r="C812" i="4" s="1"/>
  <c r="B321" i="4"/>
  <c r="C321" i="4" s="1"/>
  <c r="B1549" i="4"/>
  <c r="C1549" i="4" s="1"/>
  <c r="C73" i="4"/>
  <c r="B1303" i="4"/>
  <c r="C1303" i="4" s="1"/>
  <c r="L62" i="3"/>
  <c r="H95" i="1" s="1"/>
  <c r="G95" i="1"/>
  <c r="L49" i="3"/>
  <c r="H82" i="1" s="1"/>
  <c r="G82" i="1"/>
  <c r="L52" i="3"/>
  <c r="H85" i="1" s="1"/>
  <c r="G85" i="1"/>
  <c r="L55" i="3"/>
  <c r="H88" i="1" s="1"/>
  <c r="G88" i="1"/>
  <c r="L58" i="2"/>
  <c r="L59" i="2"/>
  <c r="G42" i="5"/>
  <c r="B116" i="5" s="1"/>
  <c r="D116" i="5" s="1"/>
  <c r="G49" i="5"/>
  <c r="B123" i="5" s="1"/>
  <c r="D123" i="5" s="1"/>
  <c r="E41" i="4"/>
  <c r="H41" i="4" s="1"/>
  <c r="K41" i="4" s="1"/>
  <c r="N41" i="4" s="1"/>
  <c r="E153" i="4" s="1"/>
  <c r="G41" i="4"/>
  <c r="J41" i="4" s="1"/>
  <c r="M41" i="4" s="1"/>
  <c r="D153" i="4" s="1"/>
  <c r="V318" i="2"/>
  <c r="U318" i="2"/>
  <c r="K64" i="2" s="1"/>
  <c r="L64" i="2" s="1"/>
  <c r="L66" i="3"/>
  <c r="H99" i="1" s="1"/>
  <c r="G99" i="1"/>
  <c r="G287" i="4"/>
  <c r="J287" i="4" s="1"/>
  <c r="M287" i="4" s="1"/>
  <c r="D403" i="4" s="1"/>
  <c r="E287" i="4"/>
  <c r="H287" i="4" s="1"/>
  <c r="K287" i="4" s="1"/>
  <c r="N287" i="4" s="1"/>
  <c r="E403" i="4" s="1"/>
  <c r="E523" i="4"/>
  <c r="H523" i="4" s="1"/>
  <c r="K523" i="4" s="1"/>
  <c r="N523" i="4" s="1"/>
  <c r="E636" i="4" s="1"/>
  <c r="G523" i="4"/>
  <c r="J523" i="4" s="1"/>
  <c r="M523" i="4" s="1"/>
  <c r="D636" i="4" s="1"/>
  <c r="E1259" i="4"/>
  <c r="H1259" i="4" s="1"/>
  <c r="K1259" i="4" s="1"/>
  <c r="N1259" i="4" s="1"/>
  <c r="E1372" i="4" s="1"/>
  <c r="G1259" i="4"/>
  <c r="J1259" i="4" s="1"/>
  <c r="M1259" i="4" s="1"/>
  <c r="D1372" i="4" s="1"/>
  <c r="G30" i="4"/>
  <c r="J30" i="4" s="1"/>
  <c r="M30" i="4" s="1"/>
  <c r="D142" i="4" s="1"/>
  <c r="E30" i="4"/>
  <c r="H30" i="4" s="1"/>
  <c r="K30" i="4" s="1"/>
  <c r="N30" i="4" s="1"/>
  <c r="E142" i="4" s="1"/>
  <c r="L59" i="3"/>
  <c r="H92" i="1" s="1"/>
  <c r="G92" i="1"/>
  <c r="L51" i="3"/>
  <c r="H84" i="1" s="1"/>
  <c r="G84" i="1"/>
  <c r="E1256" i="4"/>
  <c r="H1256" i="4" s="1"/>
  <c r="K1256" i="4" s="1"/>
  <c r="N1256" i="4" s="1"/>
  <c r="E1369" i="4" s="1"/>
  <c r="G1256" i="4"/>
  <c r="J1256" i="4" s="1"/>
  <c r="M1256" i="4" s="1"/>
  <c r="D1369" i="4" s="1"/>
  <c r="E765" i="4"/>
  <c r="H765" i="4" s="1"/>
  <c r="K765" i="4" s="1"/>
  <c r="N765" i="4" s="1"/>
  <c r="E878" i="4" s="1"/>
  <c r="G765" i="4"/>
  <c r="J765" i="4" s="1"/>
  <c r="M765" i="4" s="1"/>
  <c r="D878" i="4" s="1"/>
  <c r="G292" i="4"/>
  <c r="J292" i="4" s="1"/>
  <c r="M292" i="4" s="1"/>
  <c r="D408" i="4" s="1"/>
  <c r="E292" i="4"/>
  <c r="H292" i="4" s="1"/>
  <c r="K292" i="4" s="1"/>
  <c r="N292" i="4" s="1"/>
  <c r="E408" i="4" s="1"/>
  <c r="G1275" i="4"/>
  <c r="J1275" i="4" s="1"/>
  <c r="M1275" i="4" s="1"/>
  <c r="D1388" i="4" s="1"/>
  <c r="E1275" i="4"/>
  <c r="H1275" i="4" s="1"/>
  <c r="K1275" i="4" s="1"/>
  <c r="N1275" i="4" s="1"/>
  <c r="E1388" i="4" s="1"/>
  <c r="E1006" i="4"/>
  <c r="H1006" i="4" s="1"/>
  <c r="K1006" i="4" s="1"/>
  <c r="N1006" i="4" s="1"/>
  <c r="E1119" i="4" s="1"/>
  <c r="G1006" i="4"/>
  <c r="J1006" i="4" s="1"/>
  <c r="M1006" i="4" s="1"/>
  <c r="D1119" i="4" s="1"/>
  <c r="E1014" i="4"/>
  <c r="H1014" i="4" s="1"/>
  <c r="K1014" i="4" s="1"/>
  <c r="N1014" i="4" s="1"/>
  <c r="E1127" i="4" s="1"/>
  <c r="G1014" i="4"/>
  <c r="J1014" i="4" s="1"/>
  <c r="M1014" i="4" s="1"/>
  <c r="D1127" i="4" s="1"/>
  <c r="E1009" i="4"/>
  <c r="H1009" i="4" s="1"/>
  <c r="K1009" i="4" s="1"/>
  <c r="N1009" i="4" s="1"/>
  <c r="E1122" i="4" s="1"/>
  <c r="G1009" i="4"/>
  <c r="J1009" i="4" s="1"/>
  <c r="M1009" i="4" s="1"/>
  <c r="D1122" i="4" s="1"/>
  <c r="E1008" i="4"/>
  <c r="H1008" i="4" s="1"/>
  <c r="K1008" i="4" s="1"/>
  <c r="N1008" i="4" s="1"/>
  <c r="E1121" i="4" s="1"/>
  <c r="G1008" i="4"/>
  <c r="J1008" i="4" s="1"/>
  <c r="M1008" i="4" s="1"/>
  <c r="D1121" i="4" s="1"/>
  <c r="G284" i="4"/>
  <c r="J284" i="4" s="1"/>
  <c r="M284" i="4" s="1"/>
  <c r="D400" i="4" s="1"/>
  <c r="E284" i="4"/>
  <c r="H284" i="4" s="1"/>
  <c r="K284" i="4" s="1"/>
  <c r="N284" i="4" s="1"/>
  <c r="E400" i="4" s="1"/>
  <c r="G786" i="4"/>
  <c r="J786" i="4" s="1"/>
  <c r="M786" i="4" s="1"/>
  <c r="D899" i="4" s="1"/>
  <c r="E786" i="4"/>
  <c r="H786" i="4" s="1"/>
  <c r="K786" i="4" s="1"/>
  <c r="N786" i="4" s="1"/>
  <c r="E899" i="4" s="1"/>
  <c r="E269" i="4"/>
  <c r="H269" i="4" s="1"/>
  <c r="K269" i="4" s="1"/>
  <c r="N269" i="4" s="1"/>
  <c r="E385" i="4" s="1"/>
  <c r="G269" i="4"/>
  <c r="J269" i="4" s="1"/>
  <c r="M269" i="4" s="1"/>
  <c r="D385" i="4" s="1"/>
  <c r="G282" i="4"/>
  <c r="J282" i="4" s="1"/>
  <c r="M282" i="4" s="1"/>
  <c r="D398" i="4" s="1"/>
  <c r="E282" i="4"/>
  <c r="H282" i="4" s="1"/>
  <c r="K282" i="4" s="1"/>
  <c r="N282" i="4" s="1"/>
  <c r="E398" i="4" s="1"/>
  <c r="E1511" i="4"/>
  <c r="H1511" i="4" s="1"/>
  <c r="K1511" i="4" s="1"/>
  <c r="N1511" i="4" s="1"/>
  <c r="E1624" i="4" s="1"/>
  <c r="G1511" i="4"/>
  <c r="J1511" i="4" s="1"/>
  <c r="M1511" i="4" s="1"/>
  <c r="D1624" i="4" s="1"/>
  <c r="E274" i="4"/>
  <c r="H274" i="4" s="1"/>
  <c r="K274" i="4" s="1"/>
  <c r="N274" i="4" s="1"/>
  <c r="E390" i="4" s="1"/>
  <c r="G274" i="4"/>
  <c r="J274" i="4" s="1"/>
  <c r="M274" i="4" s="1"/>
  <c r="D390" i="4" s="1"/>
  <c r="E766" i="4"/>
  <c r="H766" i="4" s="1"/>
  <c r="K766" i="4" s="1"/>
  <c r="N766" i="4" s="1"/>
  <c r="E879" i="4" s="1"/>
  <c r="G766" i="4"/>
  <c r="J766" i="4" s="1"/>
  <c r="M766" i="4" s="1"/>
  <c r="D879" i="4" s="1"/>
  <c r="E1268" i="4"/>
  <c r="H1268" i="4" s="1"/>
  <c r="K1268" i="4" s="1"/>
  <c r="N1268" i="4" s="1"/>
  <c r="E1381" i="4" s="1"/>
  <c r="G1268" i="4"/>
  <c r="J1268" i="4" s="1"/>
  <c r="M1268" i="4" s="1"/>
  <c r="D1381" i="4" s="1"/>
  <c r="E285" i="4"/>
  <c r="H285" i="4" s="1"/>
  <c r="K285" i="4" s="1"/>
  <c r="N285" i="4" s="1"/>
  <c r="E401" i="4" s="1"/>
  <c r="G285" i="4"/>
  <c r="J285" i="4" s="1"/>
  <c r="M285" i="4" s="1"/>
  <c r="D401" i="4" s="1"/>
  <c r="E524" i="4"/>
  <c r="H524" i="4" s="1"/>
  <c r="K524" i="4" s="1"/>
  <c r="N524" i="4" s="1"/>
  <c r="E637" i="4" s="1"/>
  <c r="G524" i="4"/>
  <c r="J524" i="4" s="1"/>
  <c r="M524" i="4" s="1"/>
  <c r="D637" i="4" s="1"/>
  <c r="E1278" i="4"/>
  <c r="H1278" i="4" s="1"/>
  <c r="K1278" i="4" s="1"/>
  <c r="N1278" i="4" s="1"/>
  <c r="E1391" i="4" s="1"/>
  <c r="G1278" i="4"/>
  <c r="J1278" i="4" s="1"/>
  <c r="M1278" i="4" s="1"/>
  <c r="D1391" i="4" s="1"/>
  <c r="G542" i="4"/>
  <c r="J542" i="4" s="1"/>
  <c r="M542" i="4" s="1"/>
  <c r="D655" i="4" s="1"/>
  <c r="E542" i="4"/>
  <c r="H542" i="4" s="1"/>
  <c r="K542" i="4" s="1"/>
  <c r="N542" i="4" s="1"/>
  <c r="E655" i="4" s="1"/>
  <c r="E1515" i="4"/>
  <c r="H1515" i="4" s="1"/>
  <c r="K1515" i="4" s="1"/>
  <c r="N1515" i="4" s="1"/>
  <c r="E1628" i="4" s="1"/>
  <c r="G1515" i="4"/>
  <c r="J1515" i="4" s="1"/>
  <c r="M1515" i="4" s="1"/>
  <c r="D1628" i="4" s="1"/>
  <c r="G286" i="4"/>
  <c r="J286" i="4" s="1"/>
  <c r="M286" i="4" s="1"/>
  <c r="D402" i="4" s="1"/>
  <c r="E286" i="4"/>
  <c r="H286" i="4" s="1"/>
  <c r="K286" i="4" s="1"/>
  <c r="N286" i="4" s="1"/>
  <c r="E402" i="4" s="1"/>
  <c r="E1012" i="4"/>
  <c r="H1012" i="4" s="1"/>
  <c r="K1012" i="4" s="1"/>
  <c r="N1012" i="4" s="1"/>
  <c r="E1125" i="4" s="1"/>
  <c r="G1012" i="4"/>
  <c r="J1012" i="4" s="1"/>
  <c r="M1012" i="4" s="1"/>
  <c r="D1125" i="4" s="1"/>
  <c r="G534" i="4"/>
  <c r="J534" i="4" s="1"/>
  <c r="M534" i="4" s="1"/>
  <c r="D647" i="4" s="1"/>
  <c r="E534" i="4"/>
  <c r="H534" i="4" s="1"/>
  <c r="K534" i="4" s="1"/>
  <c r="N534" i="4" s="1"/>
  <c r="E647" i="4" s="1"/>
  <c r="E1270" i="4"/>
  <c r="H1270" i="4" s="1"/>
  <c r="K1270" i="4" s="1"/>
  <c r="N1270" i="4" s="1"/>
  <c r="E1383" i="4" s="1"/>
  <c r="G1270" i="4"/>
  <c r="J1270" i="4" s="1"/>
  <c r="M1270" i="4" s="1"/>
  <c r="D1383" i="4" s="1"/>
  <c r="E1505" i="4"/>
  <c r="H1505" i="4" s="1"/>
  <c r="K1505" i="4" s="1"/>
  <c r="N1505" i="4" s="1"/>
  <c r="E1618" i="4" s="1"/>
  <c r="G1505" i="4"/>
  <c r="J1505" i="4" s="1"/>
  <c r="M1505" i="4" s="1"/>
  <c r="D1618" i="4" s="1"/>
  <c r="E768" i="4"/>
  <c r="H768" i="4" s="1"/>
  <c r="K768" i="4" s="1"/>
  <c r="N768" i="4" s="1"/>
  <c r="E881" i="4" s="1"/>
  <c r="G768" i="4"/>
  <c r="J768" i="4" s="1"/>
  <c r="M768" i="4" s="1"/>
  <c r="D881" i="4" s="1"/>
  <c r="L48" i="3"/>
  <c r="H81" i="1" s="1"/>
  <c r="G81" i="1"/>
  <c r="L45" i="3"/>
  <c r="H78" i="1" s="1"/>
  <c r="G78" i="1"/>
  <c r="G1010" i="4"/>
  <c r="J1010" i="4" s="1"/>
  <c r="M1010" i="4" s="1"/>
  <c r="D1123" i="4" s="1"/>
  <c r="E1010" i="4"/>
  <c r="H1010" i="4" s="1"/>
  <c r="K1010" i="4" s="1"/>
  <c r="N1010" i="4" s="1"/>
  <c r="E1123" i="4" s="1"/>
  <c r="L63" i="3"/>
  <c r="H96" i="1" s="1"/>
  <c r="G96" i="1"/>
  <c r="E764" i="4"/>
  <c r="H764" i="4" s="1"/>
  <c r="K764" i="4" s="1"/>
  <c r="N764" i="4" s="1"/>
  <c r="E877" i="4" s="1"/>
  <c r="G764" i="4"/>
  <c r="J764" i="4" s="1"/>
  <c r="M764" i="4" s="1"/>
  <c r="D877" i="4" s="1"/>
  <c r="G27" i="4"/>
  <c r="J27" i="4" s="1"/>
  <c r="M27" i="4" s="1"/>
  <c r="D139" i="4" s="1"/>
  <c r="E27" i="4"/>
  <c r="H27" i="4" s="1"/>
  <c r="K27" i="4" s="1"/>
  <c r="N27" i="4" s="1"/>
  <c r="E139" i="4" s="1"/>
  <c r="G273" i="4"/>
  <c r="J273" i="4" s="1"/>
  <c r="M273" i="4" s="1"/>
  <c r="D389" i="4" s="1"/>
  <c r="E273" i="4"/>
  <c r="H273" i="4" s="1"/>
  <c r="K273" i="4" s="1"/>
  <c r="N273" i="4" s="1"/>
  <c r="E389" i="4" s="1"/>
  <c r="E784" i="4"/>
  <c r="H784" i="4" s="1"/>
  <c r="K784" i="4" s="1"/>
  <c r="N784" i="4" s="1"/>
  <c r="E897" i="4" s="1"/>
  <c r="G784" i="4"/>
  <c r="J784" i="4" s="1"/>
  <c r="M784" i="4" s="1"/>
  <c r="D897" i="4" s="1"/>
  <c r="E539" i="4"/>
  <c r="H539" i="4" s="1"/>
  <c r="K539" i="4" s="1"/>
  <c r="N539" i="4" s="1"/>
  <c r="E652" i="4" s="1"/>
  <c r="G539" i="4"/>
  <c r="J539" i="4" s="1"/>
  <c r="M539" i="4" s="1"/>
  <c r="D652" i="4" s="1"/>
  <c r="E1528" i="4"/>
  <c r="H1528" i="4" s="1"/>
  <c r="K1528" i="4" s="1"/>
  <c r="N1528" i="4" s="1"/>
  <c r="E1641" i="4" s="1"/>
  <c r="G1528" i="4"/>
  <c r="J1528" i="4" s="1"/>
  <c r="M1528" i="4" s="1"/>
  <c r="D1641" i="4" s="1"/>
  <c r="G776" i="4"/>
  <c r="J776" i="4" s="1"/>
  <c r="M776" i="4" s="1"/>
  <c r="D889" i="4" s="1"/>
  <c r="E776" i="4"/>
  <c r="H776" i="4" s="1"/>
  <c r="K776" i="4" s="1"/>
  <c r="N776" i="4" s="1"/>
  <c r="E889" i="4" s="1"/>
  <c r="E1513" i="4"/>
  <c r="H1513" i="4" s="1"/>
  <c r="K1513" i="4" s="1"/>
  <c r="N1513" i="4" s="1"/>
  <c r="E1626" i="4" s="1"/>
  <c r="G1513" i="4"/>
  <c r="J1513" i="4" s="1"/>
  <c r="M1513" i="4" s="1"/>
  <c r="D1626" i="4" s="1"/>
  <c r="E531" i="4"/>
  <c r="H531" i="4" s="1"/>
  <c r="K531" i="4" s="1"/>
  <c r="N531" i="4" s="1"/>
  <c r="E644" i="4" s="1"/>
  <c r="G531" i="4"/>
  <c r="J531" i="4" s="1"/>
  <c r="M531" i="4" s="1"/>
  <c r="D644" i="4" s="1"/>
  <c r="G1523" i="4"/>
  <c r="J1523" i="4" s="1"/>
  <c r="M1523" i="4" s="1"/>
  <c r="D1636" i="4" s="1"/>
  <c r="E1523" i="4"/>
  <c r="H1523" i="4" s="1"/>
  <c r="K1523" i="4" s="1"/>
  <c r="N1523" i="4" s="1"/>
  <c r="E1636" i="4" s="1"/>
  <c r="G761" i="4"/>
  <c r="J761" i="4" s="1"/>
  <c r="M761" i="4" s="1"/>
  <c r="D874" i="4" s="1"/>
  <c r="E761" i="4"/>
  <c r="H761" i="4" s="1"/>
  <c r="K761" i="4" s="1"/>
  <c r="N761" i="4" s="1"/>
  <c r="E874" i="4" s="1"/>
  <c r="G36" i="4"/>
  <c r="J36" i="4" s="1"/>
  <c r="M36" i="4" s="1"/>
  <c r="D148" i="4" s="1"/>
  <c r="E36" i="4"/>
  <c r="H36" i="4" s="1"/>
  <c r="K36" i="4" s="1"/>
  <c r="N36" i="4" s="1"/>
  <c r="E148" i="4" s="1"/>
  <c r="E774" i="4"/>
  <c r="H774" i="4" s="1"/>
  <c r="K774" i="4" s="1"/>
  <c r="N774" i="4" s="1"/>
  <c r="E887" i="4" s="1"/>
  <c r="G774" i="4"/>
  <c r="J774" i="4" s="1"/>
  <c r="M774" i="4" s="1"/>
  <c r="D887" i="4" s="1"/>
  <c r="G1503" i="4"/>
  <c r="J1503" i="4" s="1"/>
  <c r="M1503" i="4" s="1"/>
  <c r="D1616" i="4" s="1"/>
  <c r="E1503" i="4"/>
  <c r="H1503" i="4" s="1"/>
  <c r="K1503" i="4" s="1"/>
  <c r="N1503" i="4" s="1"/>
  <c r="E1616" i="4" s="1"/>
  <c r="G1257" i="4"/>
  <c r="J1257" i="4" s="1"/>
  <c r="M1257" i="4" s="1"/>
  <c r="D1370" i="4" s="1"/>
  <c r="E1257" i="4"/>
  <c r="H1257" i="4" s="1"/>
  <c r="K1257" i="4" s="1"/>
  <c r="N1257" i="4" s="1"/>
  <c r="E1370" i="4" s="1"/>
  <c r="E532" i="4"/>
  <c r="H532" i="4" s="1"/>
  <c r="K532" i="4" s="1"/>
  <c r="N532" i="4" s="1"/>
  <c r="E645" i="4" s="1"/>
  <c r="G532" i="4"/>
  <c r="J532" i="4" s="1"/>
  <c r="M532" i="4" s="1"/>
  <c r="D645" i="4" s="1"/>
  <c r="E777" i="4"/>
  <c r="H777" i="4" s="1"/>
  <c r="K777" i="4" s="1"/>
  <c r="N777" i="4" s="1"/>
  <c r="E890" i="4" s="1"/>
  <c r="G777" i="4"/>
  <c r="J777" i="4" s="1"/>
  <c r="M777" i="4" s="1"/>
  <c r="D890" i="4" s="1"/>
  <c r="E1260" i="4"/>
  <c r="H1260" i="4" s="1"/>
  <c r="K1260" i="4" s="1"/>
  <c r="N1260" i="4" s="1"/>
  <c r="E1373" i="4" s="1"/>
  <c r="G1260" i="4"/>
  <c r="J1260" i="4" s="1"/>
  <c r="M1260" i="4" s="1"/>
  <c r="D1373" i="4" s="1"/>
  <c r="E31" i="4"/>
  <c r="H31" i="4" s="1"/>
  <c r="K31" i="4" s="1"/>
  <c r="N31" i="4" s="1"/>
  <c r="E143" i="4" s="1"/>
  <c r="G31" i="4"/>
  <c r="J31" i="4" s="1"/>
  <c r="M31" i="4" s="1"/>
  <c r="D143" i="4" s="1"/>
  <c r="G769" i="4"/>
  <c r="J769" i="4" s="1"/>
  <c r="M769" i="4" s="1"/>
  <c r="D882" i="4" s="1"/>
  <c r="E769" i="4"/>
  <c r="H769" i="4" s="1"/>
  <c r="K769" i="4" s="1"/>
  <c r="N769" i="4" s="1"/>
  <c r="E882" i="4" s="1"/>
  <c r="E785" i="4"/>
  <c r="H785" i="4" s="1"/>
  <c r="K785" i="4" s="1"/>
  <c r="N785" i="4" s="1"/>
  <c r="E898" i="4" s="1"/>
  <c r="G785" i="4"/>
  <c r="J785" i="4" s="1"/>
  <c r="M785" i="4" s="1"/>
  <c r="D898" i="4" s="1"/>
  <c r="E787" i="4"/>
  <c r="H787" i="4" s="1"/>
  <c r="K787" i="4" s="1"/>
  <c r="N787" i="4" s="1"/>
  <c r="E900" i="4" s="1"/>
  <c r="G787" i="4"/>
  <c r="J787" i="4" s="1"/>
  <c r="M787" i="4" s="1"/>
  <c r="D900" i="4" s="1"/>
  <c r="E533" i="4"/>
  <c r="H533" i="4" s="1"/>
  <c r="K533" i="4" s="1"/>
  <c r="N533" i="4" s="1"/>
  <c r="E646" i="4" s="1"/>
  <c r="G533" i="4"/>
  <c r="J533" i="4" s="1"/>
  <c r="M533" i="4" s="1"/>
  <c r="D646" i="4" s="1"/>
  <c r="E40" i="4"/>
  <c r="H40" i="4" s="1"/>
  <c r="K40" i="4" s="1"/>
  <c r="N40" i="4" s="1"/>
  <c r="E152" i="4" s="1"/>
  <c r="G40" i="4"/>
  <c r="J40" i="4" s="1"/>
  <c r="M40" i="4" s="1"/>
  <c r="D152" i="4" s="1"/>
  <c r="K21" i="5"/>
  <c r="L21" i="5" s="1"/>
  <c r="J175" i="5"/>
  <c r="K175" i="5" s="1"/>
  <c r="L175" i="5" s="1"/>
  <c r="K18" i="5"/>
  <c r="L18" i="5" s="1"/>
  <c r="J172" i="5"/>
  <c r="K172" i="5" s="1"/>
  <c r="L172" i="5" s="1"/>
  <c r="L67" i="3"/>
  <c r="H100" i="1" s="1"/>
  <c r="G100" i="1"/>
  <c r="L71" i="3"/>
  <c r="H104" i="1" s="1"/>
  <c r="G104" i="1"/>
  <c r="L43" i="3"/>
  <c r="H76" i="1" s="1"/>
  <c r="G76" i="1"/>
  <c r="L53" i="3"/>
  <c r="H86" i="1" s="1"/>
  <c r="G86" i="1"/>
  <c r="L72" i="3"/>
  <c r="H105" i="1" s="1"/>
  <c r="G105" i="1"/>
  <c r="L54" i="3"/>
  <c r="H87" i="1" s="1"/>
  <c r="G87" i="1"/>
  <c r="L46" i="3"/>
  <c r="H79" i="1" s="1"/>
  <c r="G79" i="1"/>
  <c r="L65" i="3"/>
  <c r="H98" i="1" s="1"/>
  <c r="G98" i="1"/>
  <c r="L61" i="3"/>
  <c r="H94" i="1" s="1"/>
  <c r="G94" i="1"/>
  <c r="M373" i="7"/>
  <c r="L52" i="7" s="1"/>
  <c r="J85" i="1" s="1"/>
  <c r="M378" i="7"/>
  <c r="L57" i="7" s="1"/>
  <c r="J90" i="1" s="1"/>
  <c r="M365" i="7"/>
  <c r="L44" i="7" s="1"/>
  <c r="J77" i="1" s="1"/>
  <c r="M392" i="7"/>
  <c r="L71" i="7" s="1"/>
  <c r="J104" i="1" s="1"/>
  <c r="M391" i="7"/>
  <c r="L70" i="7" s="1"/>
  <c r="J103" i="1" s="1"/>
  <c r="M362" i="7"/>
  <c r="L41" i="7" s="1"/>
  <c r="J74" i="1" s="1"/>
  <c r="M366" i="7"/>
  <c r="L45" i="7" s="1"/>
  <c r="J78" i="1" s="1"/>
  <c r="M379" i="7"/>
  <c r="L58" i="7" s="1"/>
  <c r="J91" i="1" s="1"/>
  <c r="M380" i="7"/>
  <c r="L59" i="7" s="1"/>
  <c r="J92" i="1" s="1"/>
  <c r="M384" i="7"/>
  <c r="L63" i="7" s="1"/>
  <c r="J96" i="1" s="1"/>
  <c r="M369" i="7"/>
  <c r="L48" i="7" s="1"/>
  <c r="J81" i="1" s="1"/>
  <c r="G198" i="5"/>
  <c r="B272" i="5" s="1"/>
  <c r="D272" i="5" s="1"/>
  <c r="G186" i="5"/>
  <c r="B260" i="5" s="1"/>
  <c r="D260" i="5" s="1"/>
  <c r="G178" i="5"/>
  <c r="B252" i="5" s="1"/>
  <c r="D252" i="5" s="1"/>
  <c r="G181" i="5"/>
  <c r="B255" i="5" s="1"/>
  <c r="D255" i="5" s="1"/>
  <c r="G45" i="5"/>
  <c r="B119" i="5" s="1"/>
  <c r="D119" i="5" s="1"/>
  <c r="G177" i="5"/>
  <c r="B251" i="5" s="1"/>
  <c r="D251" i="5" s="1"/>
  <c r="G196" i="5"/>
  <c r="B270" i="5" s="1"/>
  <c r="D270" i="5" s="1"/>
  <c r="G203" i="5"/>
  <c r="B277" i="5" s="1"/>
  <c r="D277" i="5" s="1"/>
  <c r="M374" i="7"/>
  <c r="L53" i="7" s="1"/>
  <c r="J86" i="1" s="1"/>
  <c r="M389" i="7"/>
  <c r="L68" i="7" s="1"/>
  <c r="J101" i="1" s="1"/>
  <c r="M376" i="7"/>
  <c r="L55" i="7" s="1"/>
  <c r="J88" i="1" s="1"/>
  <c r="M370" i="7"/>
  <c r="L49" i="7" s="1"/>
  <c r="J82" i="1" s="1"/>
  <c r="M381" i="7"/>
  <c r="L60" i="7" s="1"/>
  <c r="J93" i="1" s="1"/>
  <c r="M363" i="7"/>
  <c r="L42" i="7" s="1"/>
  <c r="J75" i="1" s="1"/>
  <c r="M382" i="7"/>
  <c r="L61" i="7" s="1"/>
  <c r="J94" i="1" s="1"/>
  <c r="M387" i="7"/>
  <c r="L66" i="7" s="1"/>
  <c r="J99" i="1" s="1"/>
  <c r="M377" i="7"/>
  <c r="L56" i="7" s="1"/>
  <c r="J89" i="1" s="1"/>
  <c r="M386" i="7"/>
  <c r="L65" i="7" s="1"/>
  <c r="J98" i="1" s="1"/>
  <c r="M388" i="7"/>
  <c r="L67" i="7" s="1"/>
  <c r="J100" i="1" s="1"/>
  <c r="M385" i="7"/>
  <c r="L64" i="7" s="1"/>
  <c r="J97" i="1" s="1"/>
  <c r="M372" i="7"/>
  <c r="L51" i="7" s="1"/>
  <c r="J84" i="1" s="1"/>
  <c r="M371" i="7"/>
  <c r="L50" i="7" s="1"/>
  <c r="J83" i="1" s="1"/>
  <c r="G34" i="5"/>
  <c r="B108" i="5" s="1"/>
  <c r="D108" i="5" s="1"/>
  <c r="G44" i="5"/>
  <c r="B118" i="5" s="1"/>
  <c r="D118" i="5" s="1"/>
  <c r="G35" i="5"/>
  <c r="B109" i="5" s="1"/>
  <c r="D109" i="5" s="1"/>
  <c r="G27" i="5"/>
  <c r="B101" i="5" s="1"/>
  <c r="D101" i="5" s="1"/>
  <c r="G197" i="5"/>
  <c r="B271" i="5" s="1"/>
  <c r="D271" i="5" s="1"/>
  <c r="G36" i="5"/>
  <c r="B110" i="5" s="1"/>
  <c r="D110" i="5" s="1"/>
  <c r="M393" i="7"/>
  <c r="L72" i="7" s="1"/>
  <c r="J105" i="1" s="1"/>
  <c r="G37" i="5"/>
  <c r="B111" i="5" s="1"/>
  <c r="D111" i="5" s="1"/>
  <c r="G180" i="5"/>
  <c r="B254" i="5" s="1"/>
  <c r="D254" i="5" s="1"/>
  <c r="G22" i="5"/>
  <c r="B96" i="5" s="1"/>
  <c r="D96" i="5" s="1"/>
  <c r="G23" i="5"/>
  <c r="B97" i="5" s="1"/>
  <c r="D97" i="5" s="1"/>
  <c r="K24" i="5" l="1"/>
  <c r="L24" i="5" s="1"/>
  <c r="B801" i="4"/>
  <c r="C801" i="4" s="1"/>
  <c r="B1538" i="4"/>
  <c r="C1538" i="4" s="1"/>
  <c r="B1292" i="4"/>
  <c r="C1292" i="4" s="1"/>
  <c r="F1292" i="4" s="1"/>
  <c r="I1292" i="4" s="1"/>
  <c r="L1292" i="4" s="1"/>
  <c r="K1367" i="4" s="1"/>
  <c r="K1403" i="4" s="1"/>
  <c r="B556" i="4"/>
  <c r="C556" i="4" s="1"/>
  <c r="D556" i="4" s="1"/>
  <c r="B1046" i="4"/>
  <c r="C1046" i="4" s="1"/>
  <c r="D1046" i="4" s="1"/>
  <c r="B310" i="4"/>
  <c r="C310" i="4" s="1"/>
  <c r="D310" i="4" s="1"/>
  <c r="J194" i="5"/>
  <c r="K194" i="5" s="1"/>
  <c r="L194" i="5" s="1"/>
  <c r="M194" i="5" s="1"/>
  <c r="J47" i="5"/>
  <c r="K47" i="5" s="1"/>
  <c r="L47" i="5" s="1"/>
  <c r="M134" i="6"/>
  <c r="B155" i="1"/>
  <c r="G39" i="5"/>
  <c r="B113" i="5" s="1"/>
  <c r="D113" i="5" s="1"/>
  <c r="B553" i="4"/>
  <c r="C553" i="4" s="1"/>
  <c r="D553" i="4" s="1"/>
  <c r="K32" i="5"/>
  <c r="L32" i="5" s="1"/>
  <c r="M32" i="5" s="1"/>
  <c r="B1535" i="4"/>
  <c r="C1535" i="4" s="1"/>
  <c r="F1535" i="4" s="1"/>
  <c r="I1535" i="4" s="1"/>
  <c r="L1535" i="4" s="1"/>
  <c r="K1610" i="4" s="1"/>
  <c r="K1646" i="4" s="1"/>
  <c r="B1043" i="4"/>
  <c r="C1043" i="4" s="1"/>
  <c r="D1043" i="4" s="1"/>
  <c r="C59" i="4"/>
  <c r="D59" i="4" s="1"/>
  <c r="B1289" i="4"/>
  <c r="C1289" i="4" s="1"/>
  <c r="F1289" i="4" s="1"/>
  <c r="I1289" i="4" s="1"/>
  <c r="L1289" i="4" s="1"/>
  <c r="K1364" i="4" s="1"/>
  <c r="K1400" i="4" s="1"/>
  <c r="B307" i="4"/>
  <c r="C307" i="4" s="1"/>
  <c r="D307" i="4" s="1"/>
  <c r="G193" i="5"/>
  <c r="B267" i="5" s="1"/>
  <c r="D267" i="5" s="1"/>
  <c r="E1518" i="4"/>
  <c r="H1518" i="4" s="1"/>
  <c r="K1518" i="4" s="1"/>
  <c r="N1518" i="4" s="1"/>
  <c r="E1631" i="4" s="1"/>
  <c r="G1518" i="4"/>
  <c r="J1518" i="4" s="1"/>
  <c r="M1518" i="4" s="1"/>
  <c r="D1631" i="4" s="1"/>
  <c r="E43" i="4"/>
  <c r="H43" i="4" s="1"/>
  <c r="K43" i="4" s="1"/>
  <c r="N43" i="4" s="1"/>
  <c r="E155" i="4" s="1"/>
  <c r="G43" i="4"/>
  <c r="J43" i="4" s="1"/>
  <c r="M43" i="4" s="1"/>
  <c r="D155" i="4" s="1"/>
  <c r="G289" i="4"/>
  <c r="J289" i="4" s="1"/>
  <c r="M289" i="4" s="1"/>
  <c r="D405" i="4" s="1"/>
  <c r="E289" i="4"/>
  <c r="H289" i="4" s="1"/>
  <c r="K289" i="4" s="1"/>
  <c r="N289" i="4" s="1"/>
  <c r="E405" i="4" s="1"/>
  <c r="G536" i="4"/>
  <c r="J536" i="4" s="1"/>
  <c r="M536" i="4" s="1"/>
  <c r="D649" i="4" s="1"/>
  <c r="E536" i="4"/>
  <c r="H536" i="4" s="1"/>
  <c r="K536" i="4" s="1"/>
  <c r="N536" i="4" s="1"/>
  <c r="E649" i="4" s="1"/>
  <c r="E1272" i="4"/>
  <c r="H1272" i="4" s="1"/>
  <c r="K1272" i="4" s="1"/>
  <c r="N1272" i="4" s="1"/>
  <c r="E1385" i="4" s="1"/>
  <c r="G1272" i="4"/>
  <c r="J1272" i="4" s="1"/>
  <c r="M1272" i="4" s="1"/>
  <c r="D1385" i="4" s="1"/>
  <c r="G781" i="4"/>
  <c r="J781" i="4" s="1"/>
  <c r="M781" i="4" s="1"/>
  <c r="D894" i="4" s="1"/>
  <c r="E781" i="4"/>
  <c r="H781" i="4" s="1"/>
  <c r="K781" i="4" s="1"/>
  <c r="N781" i="4" s="1"/>
  <c r="E894" i="4" s="1"/>
  <c r="B66" i="4"/>
  <c r="B560" i="4" s="1"/>
  <c r="C560" i="4" s="1"/>
  <c r="G48" i="5"/>
  <c r="B122" i="5" s="1"/>
  <c r="D122" i="5" s="1"/>
  <c r="G40" i="5"/>
  <c r="B114" i="5" s="1"/>
  <c r="D114" i="5" s="1"/>
  <c r="E290" i="4"/>
  <c r="H290" i="4" s="1"/>
  <c r="K290" i="4" s="1"/>
  <c r="N290" i="4" s="1"/>
  <c r="E406" i="4" s="1"/>
  <c r="G290" i="4"/>
  <c r="J290" i="4" s="1"/>
  <c r="M290" i="4" s="1"/>
  <c r="D406" i="4" s="1"/>
  <c r="G202" i="5"/>
  <c r="B276" i="5" s="1"/>
  <c r="D276" i="5" s="1"/>
  <c r="G194" i="5"/>
  <c r="B268" i="5" s="1"/>
  <c r="D268" i="5" s="1"/>
  <c r="E537" i="4"/>
  <c r="H537" i="4" s="1"/>
  <c r="K537" i="4" s="1"/>
  <c r="N537" i="4" s="1"/>
  <c r="E650" i="4" s="1"/>
  <c r="G537" i="4"/>
  <c r="J537" i="4" s="1"/>
  <c r="M537" i="4" s="1"/>
  <c r="D650" i="4" s="1"/>
  <c r="G545" i="4"/>
  <c r="J545" i="4" s="1"/>
  <c r="M545" i="4" s="1"/>
  <c r="D658" i="4" s="1"/>
  <c r="E545" i="4"/>
  <c r="H545" i="4" s="1"/>
  <c r="K545" i="4" s="1"/>
  <c r="N545" i="4" s="1"/>
  <c r="E658" i="4" s="1"/>
  <c r="G44" i="4"/>
  <c r="J44" i="4" s="1"/>
  <c r="M44" i="4" s="1"/>
  <c r="D156" i="4" s="1"/>
  <c r="E44" i="4"/>
  <c r="H44" i="4" s="1"/>
  <c r="K44" i="4" s="1"/>
  <c r="N44" i="4" s="1"/>
  <c r="E156" i="4" s="1"/>
  <c r="E1273" i="4"/>
  <c r="H1273" i="4" s="1"/>
  <c r="K1273" i="4" s="1"/>
  <c r="N1273" i="4" s="1"/>
  <c r="E1386" i="4" s="1"/>
  <c r="G1273" i="4"/>
  <c r="J1273" i="4" s="1"/>
  <c r="M1273" i="4" s="1"/>
  <c r="D1386" i="4" s="1"/>
  <c r="G782" i="4"/>
  <c r="J782" i="4" s="1"/>
  <c r="M782" i="4" s="1"/>
  <c r="D895" i="4" s="1"/>
  <c r="E782" i="4"/>
  <c r="H782" i="4" s="1"/>
  <c r="K782" i="4" s="1"/>
  <c r="N782" i="4" s="1"/>
  <c r="E895" i="4" s="1"/>
  <c r="G52" i="4"/>
  <c r="J52" i="4" s="1"/>
  <c r="M52" i="4" s="1"/>
  <c r="D164" i="4" s="1"/>
  <c r="E52" i="4"/>
  <c r="H52" i="4" s="1"/>
  <c r="K52" i="4" s="1"/>
  <c r="N52" i="4" s="1"/>
  <c r="E164" i="4" s="1"/>
  <c r="E298" i="4"/>
  <c r="H298" i="4" s="1"/>
  <c r="K298" i="4" s="1"/>
  <c r="N298" i="4" s="1"/>
  <c r="E414" i="4" s="1"/>
  <c r="G298" i="4"/>
  <c r="J298" i="4" s="1"/>
  <c r="M298" i="4" s="1"/>
  <c r="D414" i="4" s="1"/>
  <c r="E1519" i="4"/>
  <c r="H1519" i="4" s="1"/>
  <c r="K1519" i="4" s="1"/>
  <c r="N1519" i="4" s="1"/>
  <c r="E1632" i="4" s="1"/>
  <c r="G1519" i="4"/>
  <c r="J1519" i="4" s="1"/>
  <c r="M1519" i="4" s="1"/>
  <c r="D1632" i="4" s="1"/>
  <c r="E1527" i="4"/>
  <c r="H1527" i="4" s="1"/>
  <c r="K1527" i="4" s="1"/>
  <c r="N1527" i="4" s="1"/>
  <c r="E1640" i="4" s="1"/>
  <c r="G1527" i="4"/>
  <c r="J1527" i="4" s="1"/>
  <c r="M1527" i="4" s="1"/>
  <c r="D1640" i="4" s="1"/>
  <c r="E1281" i="4"/>
  <c r="H1281" i="4" s="1"/>
  <c r="K1281" i="4" s="1"/>
  <c r="N1281" i="4" s="1"/>
  <c r="E1394" i="4" s="1"/>
  <c r="G1281" i="4"/>
  <c r="J1281" i="4" s="1"/>
  <c r="M1281" i="4" s="1"/>
  <c r="D1394" i="4" s="1"/>
  <c r="E790" i="4"/>
  <c r="H790" i="4" s="1"/>
  <c r="K790" i="4" s="1"/>
  <c r="N790" i="4" s="1"/>
  <c r="E903" i="4" s="1"/>
  <c r="G790" i="4"/>
  <c r="J790" i="4" s="1"/>
  <c r="M790" i="4" s="1"/>
  <c r="D903" i="4" s="1"/>
  <c r="T342" i="2"/>
  <c r="W342" i="2" s="1"/>
  <c r="M90" i="2"/>
  <c r="G49" i="1"/>
  <c r="L14" i="2"/>
  <c r="H49" i="1" s="1"/>
  <c r="B1016" i="4" s="1"/>
  <c r="C1016" i="4" s="1"/>
  <c r="X272" i="2"/>
  <c r="Q272" i="2"/>
  <c r="R272" i="2" s="1"/>
  <c r="Q343" i="2"/>
  <c r="R343" i="2" s="1"/>
  <c r="X343" i="2"/>
  <c r="V271" i="2"/>
  <c r="U271" i="2"/>
  <c r="K15" i="2" s="1"/>
  <c r="V342" i="2"/>
  <c r="U342" i="2"/>
  <c r="K90" i="2" s="1"/>
  <c r="S274" i="2"/>
  <c r="S344" i="2"/>
  <c r="P344" i="2" s="1"/>
  <c r="P273" i="2"/>
  <c r="M15" i="2"/>
  <c r="T271" i="2"/>
  <c r="W271" i="2" s="1"/>
  <c r="F1015" i="4"/>
  <c r="I1015" i="4" s="1"/>
  <c r="L1015" i="4" s="1"/>
  <c r="C1128" i="4" s="1"/>
  <c r="J1164" i="4" s="1"/>
  <c r="D1015" i="4"/>
  <c r="G119" i="1"/>
  <c r="L89" i="2"/>
  <c r="H119" i="1" s="1"/>
  <c r="B69" i="4"/>
  <c r="J28" i="5"/>
  <c r="B70" i="4"/>
  <c r="J29" i="5"/>
  <c r="B86" i="4"/>
  <c r="J45" i="5"/>
  <c r="B75" i="4"/>
  <c r="J34" i="5"/>
  <c r="B80" i="4"/>
  <c r="J39" i="5"/>
  <c r="B79" i="4"/>
  <c r="J38" i="5"/>
  <c r="B74" i="4"/>
  <c r="J33" i="5"/>
  <c r="B72" i="4"/>
  <c r="J31" i="5"/>
  <c r="J41" i="5"/>
  <c r="B82" i="4"/>
  <c r="B64" i="4"/>
  <c r="J23" i="5"/>
  <c r="B89" i="4"/>
  <c r="J48" i="5"/>
  <c r="B63" i="4"/>
  <c r="J22" i="5"/>
  <c r="B71" i="4"/>
  <c r="J30" i="5"/>
  <c r="M18" i="5"/>
  <c r="N18" i="5"/>
  <c r="M186" i="5"/>
  <c r="N186" i="5"/>
  <c r="M21" i="5"/>
  <c r="N21" i="5"/>
  <c r="B336" i="4"/>
  <c r="C336" i="4" s="1"/>
  <c r="B1564" i="4"/>
  <c r="C1564" i="4" s="1"/>
  <c r="B1072" i="4"/>
  <c r="C1072" i="4" s="1"/>
  <c r="B582" i="4"/>
  <c r="C582" i="4" s="1"/>
  <c r="B827" i="4"/>
  <c r="C827" i="4" s="1"/>
  <c r="B1318" i="4"/>
  <c r="C1318" i="4" s="1"/>
  <c r="C88" i="4"/>
  <c r="N178" i="5"/>
  <c r="M178" i="5"/>
  <c r="F1303" i="4"/>
  <c r="I1303" i="4" s="1"/>
  <c r="L1303" i="4" s="1"/>
  <c r="K1378" i="4" s="1"/>
  <c r="K1414" i="4" s="1"/>
  <c r="D1303" i="4"/>
  <c r="D1549" i="4"/>
  <c r="F1549" i="4"/>
  <c r="I1549" i="4" s="1"/>
  <c r="L1549" i="4" s="1"/>
  <c r="K1624" i="4" s="1"/>
  <c r="K1660" i="4" s="1"/>
  <c r="D812" i="4"/>
  <c r="F812" i="4"/>
  <c r="I812" i="4" s="1"/>
  <c r="L812" i="4" s="1"/>
  <c r="K887" i="4" s="1"/>
  <c r="K923" i="4" s="1"/>
  <c r="F1057" i="4"/>
  <c r="I1057" i="4" s="1"/>
  <c r="L1057" i="4" s="1"/>
  <c r="K1132" i="4" s="1"/>
  <c r="K1168" i="4" s="1"/>
  <c r="D1057" i="4"/>
  <c r="F329" i="4"/>
  <c r="I329" i="4" s="1"/>
  <c r="L329" i="4" s="1"/>
  <c r="K406" i="4" s="1"/>
  <c r="K442" i="4" s="1"/>
  <c r="D329" i="4"/>
  <c r="F1311" i="4"/>
  <c r="I1311" i="4" s="1"/>
  <c r="L1311" i="4" s="1"/>
  <c r="K1386" i="4" s="1"/>
  <c r="K1422" i="4" s="1"/>
  <c r="D1311" i="4"/>
  <c r="D1557" i="4"/>
  <c r="F1557" i="4"/>
  <c r="I1557" i="4" s="1"/>
  <c r="L1557" i="4" s="1"/>
  <c r="K1632" i="4" s="1"/>
  <c r="K1668" i="4" s="1"/>
  <c r="D801" i="4"/>
  <c r="F801" i="4"/>
  <c r="I801" i="4" s="1"/>
  <c r="L801" i="4" s="1"/>
  <c r="K876" i="4" s="1"/>
  <c r="K912" i="4" s="1"/>
  <c r="F1538" i="4"/>
  <c r="I1538" i="4" s="1"/>
  <c r="L1538" i="4" s="1"/>
  <c r="K1613" i="4" s="1"/>
  <c r="K1649" i="4" s="1"/>
  <c r="D1538" i="4"/>
  <c r="F1046" i="4"/>
  <c r="I1046" i="4" s="1"/>
  <c r="L1046" i="4" s="1"/>
  <c r="K1121" i="4" s="1"/>
  <c r="K1157" i="4" s="1"/>
  <c r="F62" i="4"/>
  <c r="I62" i="4" s="1"/>
  <c r="L62" i="4" s="1"/>
  <c r="K137" i="4" s="1"/>
  <c r="K174" i="4" s="1"/>
  <c r="D62" i="4"/>
  <c r="F1295" i="4"/>
  <c r="I1295" i="4" s="1"/>
  <c r="L1295" i="4" s="1"/>
  <c r="K1370" i="4" s="1"/>
  <c r="K1406" i="4" s="1"/>
  <c r="D1295" i="4"/>
  <c r="D1049" i="4"/>
  <c r="F1049" i="4"/>
  <c r="I1049" i="4" s="1"/>
  <c r="L1049" i="4" s="1"/>
  <c r="K1124" i="4" s="1"/>
  <c r="K1160" i="4" s="1"/>
  <c r="D65" i="4"/>
  <c r="F65" i="4"/>
  <c r="I65" i="4" s="1"/>
  <c r="L65" i="4" s="1"/>
  <c r="K140" i="4" s="1"/>
  <c r="K177" i="4" s="1"/>
  <c r="B91" i="4"/>
  <c r="J50" i="5"/>
  <c r="B83" i="4"/>
  <c r="J42" i="5"/>
  <c r="B84" i="4"/>
  <c r="J43" i="5"/>
  <c r="B85" i="4"/>
  <c r="J44" i="5"/>
  <c r="B61" i="4"/>
  <c r="J20" i="5"/>
  <c r="B68" i="4"/>
  <c r="J27" i="5"/>
  <c r="B87" i="4"/>
  <c r="J46" i="5"/>
  <c r="B67" i="4"/>
  <c r="J26" i="5"/>
  <c r="B78" i="4"/>
  <c r="J37" i="5"/>
  <c r="B77" i="4"/>
  <c r="J36" i="5"/>
  <c r="B60" i="4"/>
  <c r="J19" i="5"/>
  <c r="B90" i="4"/>
  <c r="J49" i="5"/>
  <c r="B76" i="4"/>
  <c r="J35" i="5"/>
  <c r="N172" i="5"/>
  <c r="M172" i="5"/>
  <c r="M40" i="5"/>
  <c r="N40" i="5"/>
  <c r="M175" i="5"/>
  <c r="N175" i="5"/>
  <c r="J179" i="5"/>
  <c r="K179" i="5" s="1"/>
  <c r="L179" i="5" s="1"/>
  <c r="K25" i="5"/>
  <c r="L25" i="5" s="1"/>
  <c r="N24" i="5"/>
  <c r="M24" i="5"/>
  <c r="F798" i="4"/>
  <c r="I798" i="4" s="1"/>
  <c r="L798" i="4" s="1"/>
  <c r="K873" i="4" s="1"/>
  <c r="K909" i="4" s="1"/>
  <c r="D798" i="4"/>
  <c r="F73" i="4"/>
  <c r="I73" i="4" s="1"/>
  <c r="L73" i="4" s="1"/>
  <c r="K148" i="4" s="1"/>
  <c r="K185" i="4" s="1"/>
  <c r="D73" i="4"/>
  <c r="F321" i="4"/>
  <c r="I321" i="4" s="1"/>
  <c r="L321" i="4" s="1"/>
  <c r="K398" i="4" s="1"/>
  <c r="K434" i="4" s="1"/>
  <c r="D321" i="4"/>
  <c r="D567" i="4"/>
  <c r="F567" i="4"/>
  <c r="I567" i="4" s="1"/>
  <c r="L567" i="4" s="1"/>
  <c r="K642" i="4" s="1"/>
  <c r="K678" i="4" s="1"/>
  <c r="F820" i="4"/>
  <c r="I820" i="4" s="1"/>
  <c r="L820" i="4" s="1"/>
  <c r="K895" i="4" s="1"/>
  <c r="K931" i="4" s="1"/>
  <c r="D820" i="4"/>
  <c r="F575" i="4"/>
  <c r="I575" i="4" s="1"/>
  <c r="L575" i="4" s="1"/>
  <c r="K650" i="4" s="1"/>
  <c r="K686" i="4" s="1"/>
  <c r="D575" i="4"/>
  <c r="D81" i="4"/>
  <c r="F81" i="4"/>
  <c r="I81" i="4" s="1"/>
  <c r="L81" i="4" s="1"/>
  <c r="K156" i="4" s="1"/>
  <c r="K193" i="4" s="1"/>
  <c r="D1065" i="4"/>
  <c r="F1065" i="4"/>
  <c r="I1065" i="4" s="1"/>
  <c r="L1065" i="4" s="1"/>
  <c r="K1140" i="4" s="1"/>
  <c r="K1176" i="4" s="1"/>
  <c r="F804" i="4"/>
  <c r="I804" i="4" s="1"/>
  <c r="L804" i="4" s="1"/>
  <c r="K879" i="4" s="1"/>
  <c r="K915" i="4" s="1"/>
  <c r="D804" i="4"/>
  <c r="F559" i="4"/>
  <c r="I559" i="4" s="1"/>
  <c r="L559" i="4" s="1"/>
  <c r="K634" i="4" s="1"/>
  <c r="K670" i="4" s="1"/>
  <c r="D559" i="4"/>
  <c r="F313" i="4"/>
  <c r="I313" i="4" s="1"/>
  <c r="L313" i="4" s="1"/>
  <c r="K390" i="4" s="1"/>
  <c r="K426" i="4" s="1"/>
  <c r="D313" i="4"/>
  <c r="F1541" i="4"/>
  <c r="I1541" i="4" s="1"/>
  <c r="L1541" i="4" s="1"/>
  <c r="K1616" i="4" s="1"/>
  <c r="K1652" i="4" s="1"/>
  <c r="D1541" i="4"/>
  <c r="F556" i="4" l="1"/>
  <c r="I556" i="4" s="1"/>
  <c r="L556" i="4" s="1"/>
  <c r="K631" i="4" s="1"/>
  <c r="K667" i="4" s="1"/>
  <c r="D1292" i="4"/>
  <c r="F59" i="4"/>
  <c r="I59" i="4" s="1"/>
  <c r="L59" i="4" s="1"/>
  <c r="K134" i="4" s="1"/>
  <c r="K171" i="4" s="1"/>
  <c r="F310" i="4"/>
  <c r="I310" i="4" s="1"/>
  <c r="L310" i="4" s="1"/>
  <c r="K387" i="4" s="1"/>
  <c r="K423" i="4" s="1"/>
  <c r="M423" i="4" s="1"/>
  <c r="D1535" i="4"/>
  <c r="E1535" i="4" s="1"/>
  <c r="H1535" i="4" s="1"/>
  <c r="K1535" i="4" s="1"/>
  <c r="N1535" i="4" s="1"/>
  <c r="M1610" i="4" s="1"/>
  <c r="J201" i="5"/>
  <c r="K201" i="5" s="1"/>
  <c r="L201" i="5" s="1"/>
  <c r="M201" i="5" s="1"/>
  <c r="F553" i="4"/>
  <c r="I553" i="4" s="1"/>
  <c r="L553" i="4" s="1"/>
  <c r="K628" i="4" s="1"/>
  <c r="K664" i="4" s="1"/>
  <c r="K704" i="4" s="1"/>
  <c r="L704" i="4" s="1"/>
  <c r="N194" i="5"/>
  <c r="O194" i="5" s="1"/>
  <c r="G268" i="5" s="1"/>
  <c r="I268" i="5" s="1"/>
  <c r="E304" i="5" s="1"/>
  <c r="F1043" i="4"/>
  <c r="I1043" i="4" s="1"/>
  <c r="L1043" i="4" s="1"/>
  <c r="K1118" i="4" s="1"/>
  <c r="K1154" i="4" s="1"/>
  <c r="K1194" i="4" s="1"/>
  <c r="L1194" i="4" s="1"/>
  <c r="N32" i="5"/>
  <c r="O32" i="5" s="1"/>
  <c r="G106" i="5" s="1"/>
  <c r="I106" i="5" s="1"/>
  <c r="B1542" i="4"/>
  <c r="C1542" i="4" s="1"/>
  <c r="F1542" i="4" s="1"/>
  <c r="I1542" i="4" s="1"/>
  <c r="L1542" i="4" s="1"/>
  <c r="K1617" i="4" s="1"/>
  <c r="K1653" i="4" s="1"/>
  <c r="F307" i="4"/>
  <c r="I307" i="4" s="1"/>
  <c r="L307" i="4" s="1"/>
  <c r="K384" i="4" s="1"/>
  <c r="K420" i="4" s="1"/>
  <c r="M420" i="4" s="1"/>
  <c r="D1289" i="4"/>
  <c r="E1289" i="4" s="1"/>
  <c r="H1289" i="4" s="1"/>
  <c r="K1289" i="4" s="1"/>
  <c r="N1289" i="4" s="1"/>
  <c r="M1364" i="4" s="1"/>
  <c r="B805" i="4"/>
  <c r="C805" i="4" s="1"/>
  <c r="D805" i="4" s="1"/>
  <c r="C66" i="4"/>
  <c r="D66" i="4" s="1"/>
  <c r="B1050" i="4"/>
  <c r="C1050" i="4" s="1"/>
  <c r="D1050" i="4" s="1"/>
  <c r="B314" i="4"/>
  <c r="C314" i="4" s="1"/>
  <c r="F314" i="4" s="1"/>
  <c r="I314" i="4" s="1"/>
  <c r="L314" i="4" s="1"/>
  <c r="K391" i="4" s="1"/>
  <c r="K427" i="4" s="1"/>
  <c r="B1296" i="4"/>
  <c r="C1296" i="4" s="1"/>
  <c r="F1296" i="4" s="1"/>
  <c r="I1296" i="4" s="1"/>
  <c r="L1296" i="4" s="1"/>
  <c r="K1371" i="4" s="1"/>
  <c r="K1407" i="4" s="1"/>
  <c r="O21" i="5"/>
  <c r="G95" i="5" s="1"/>
  <c r="I95" i="5" s="1"/>
  <c r="B131" i="5" s="1"/>
  <c r="E1015" i="4"/>
  <c r="H1015" i="4" s="1"/>
  <c r="K1015" i="4" s="1"/>
  <c r="N1015" i="4" s="1"/>
  <c r="E1128" i="4" s="1"/>
  <c r="G1015" i="4"/>
  <c r="J1015" i="4" s="1"/>
  <c r="M1015" i="4" s="1"/>
  <c r="D1128" i="4" s="1"/>
  <c r="X273" i="2"/>
  <c r="Q273" i="2"/>
  <c r="R273" i="2" s="1"/>
  <c r="S345" i="2"/>
  <c r="P345" i="2" s="1"/>
  <c r="S275" i="2"/>
  <c r="P274" i="2"/>
  <c r="U343" i="2"/>
  <c r="K91" i="2" s="1"/>
  <c r="G121" i="1" s="1"/>
  <c r="V343" i="2"/>
  <c r="M16" i="2"/>
  <c r="T272" i="2"/>
  <c r="W272" i="2" s="1"/>
  <c r="O172" i="5"/>
  <c r="G246" i="5" s="1"/>
  <c r="I246" i="5" s="1"/>
  <c r="E282" i="5" s="1"/>
  <c r="Q344" i="2"/>
  <c r="R344" i="2" s="1"/>
  <c r="X344" i="2"/>
  <c r="G120" i="1"/>
  <c r="L90" i="2"/>
  <c r="H120" i="1" s="1"/>
  <c r="L15" i="2"/>
  <c r="H50" i="1" s="1"/>
  <c r="B1017" i="4" s="1"/>
  <c r="C1017" i="4" s="1"/>
  <c r="G50" i="1"/>
  <c r="T343" i="2"/>
  <c r="W343" i="2" s="1"/>
  <c r="M91" i="2"/>
  <c r="U272" i="2"/>
  <c r="K16" i="2" s="1"/>
  <c r="V272" i="2"/>
  <c r="F1016" i="4"/>
  <c r="I1016" i="4" s="1"/>
  <c r="L1016" i="4" s="1"/>
  <c r="C1129" i="4" s="1"/>
  <c r="J1165" i="4" s="1"/>
  <c r="D1016" i="4"/>
  <c r="O175" i="5"/>
  <c r="G249" i="5" s="1"/>
  <c r="I249" i="5" s="1"/>
  <c r="E285" i="5" s="1"/>
  <c r="O186" i="5"/>
  <c r="G260" i="5" s="1"/>
  <c r="I260" i="5" s="1"/>
  <c r="B296" i="5" s="1"/>
  <c r="O18" i="5"/>
  <c r="G92" i="5" s="1"/>
  <c r="I92" i="5" s="1"/>
  <c r="B128" i="5" s="1"/>
  <c r="K466" i="4"/>
  <c r="L466" i="4" s="1"/>
  <c r="M426" i="4"/>
  <c r="K955" i="4"/>
  <c r="L955" i="4" s="1"/>
  <c r="M915" i="4"/>
  <c r="E310" i="4"/>
  <c r="H310" i="4" s="1"/>
  <c r="K310" i="4" s="1"/>
  <c r="N310" i="4" s="1"/>
  <c r="M387" i="4" s="1"/>
  <c r="G310" i="4"/>
  <c r="J310" i="4" s="1"/>
  <c r="M310" i="4" s="1"/>
  <c r="L387" i="4" s="1"/>
  <c r="K1443" i="4"/>
  <c r="L1443" i="4" s="1"/>
  <c r="M1403" i="4"/>
  <c r="G1065" i="4"/>
  <c r="J1065" i="4" s="1"/>
  <c r="M1065" i="4" s="1"/>
  <c r="L1140" i="4" s="1"/>
  <c r="E1065" i="4"/>
  <c r="H1065" i="4" s="1"/>
  <c r="K1065" i="4" s="1"/>
  <c r="N1065" i="4" s="1"/>
  <c r="M1140" i="4" s="1"/>
  <c r="G81" i="4"/>
  <c r="J81" i="4" s="1"/>
  <c r="M81" i="4" s="1"/>
  <c r="L156" i="4" s="1"/>
  <c r="E81" i="4"/>
  <c r="H81" i="4" s="1"/>
  <c r="K81" i="4" s="1"/>
  <c r="N81" i="4" s="1"/>
  <c r="M156" i="4" s="1"/>
  <c r="K971" i="4"/>
  <c r="L971" i="4" s="1"/>
  <c r="M931" i="4"/>
  <c r="E567" i="4"/>
  <c r="H567" i="4" s="1"/>
  <c r="K567" i="4" s="1"/>
  <c r="N567" i="4" s="1"/>
  <c r="M642" i="4" s="1"/>
  <c r="G567" i="4"/>
  <c r="J567" i="4" s="1"/>
  <c r="M567" i="4" s="1"/>
  <c r="L642" i="4" s="1"/>
  <c r="K223" i="4"/>
  <c r="L223" i="4" s="1"/>
  <c r="M185" i="4"/>
  <c r="K1440" i="4"/>
  <c r="L1440" i="4" s="1"/>
  <c r="M1400" i="4"/>
  <c r="K209" i="4"/>
  <c r="L209" i="4" s="1"/>
  <c r="M171" i="4"/>
  <c r="K949" i="4"/>
  <c r="L949" i="4" s="1"/>
  <c r="M909" i="4"/>
  <c r="M47" i="5"/>
  <c r="N47" i="5"/>
  <c r="N179" i="5"/>
  <c r="M179" i="5"/>
  <c r="B1552" i="4"/>
  <c r="C1552" i="4" s="1"/>
  <c r="C76" i="4"/>
  <c r="B815" i="4"/>
  <c r="C815" i="4" s="1"/>
  <c r="B1060" i="4"/>
  <c r="C1060" i="4" s="1"/>
  <c r="B324" i="4"/>
  <c r="C324" i="4" s="1"/>
  <c r="B1306" i="4"/>
  <c r="C1306" i="4" s="1"/>
  <c r="B570" i="4"/>
  <c r="C570" i="4" s="1"/>
  <c r="B584" i="4"/>
  <c r="C584" i="4" s="1"/>
  <c r="B1320" i="4"/>
  <c r="C1320" i="4" s="1"/>
  <c r="B1074" i="4"/>
  <c r="C1074" i="4" s="1"/>
  <c r="C90" i="4"/>
  <c r="B338" i="4"/>
  <c r="C338" i="4" s="1"/>
  <c r="B829" i="4"/>
  <c r="C829" i="4" s="1"/>
  <c r="B1566" i="4"/>
  <c r="C1566" i="4" s="1"/>
  <c r="B308" i="4"/>
  <c r="C308" i="4" s="1"/>
  <c r="B554" i="4"/>
  <c r="C554" i="4" s="1"/>
  <c r="B1290" i="4"/>
  <c r="C1290" i="4" s="1"/>
  <c r="C60" i="4"/>
  <c r="B799" i="4"/>
  <c r="C799" i="4" s="1"/>
  <c r="B1044" i="4"/>
  <c r="C1044" i="4" s="1"/>
  <c r="B1536" i="4"/>
  <c r="C1536" i="4" s="1"/>
  <c r="B325" i="4"/>
  <c r="C325" i="4" s="1"/>
  <c r="B1061" i="4"/>
  <c r="C1061" i="4" s="1"/>
  <c r="B816" i="4"/>
  <c r="C816" i="4" s="1"/>
  <c r="B1553" i="4"/>
  <c r="C1553" i="4" s="1"/>
  <c r="B571" i="4"/>
  <c r="C571" i="4" s="1"/>
  <c r="B1307" i="4"/>
  <c r="C1307" i="4" s="1"/>
  <c r="C77" i="4"/>
  <c r="C78" i="4"/>
  <c r="B1308" i="4"/>
  <c r="C1308" i="4" s="1"/>
  <c r="B817" i="4"/>
  <c r="C817" i="4" s="1"/>
  <c r="B1554" i="4"/>
  <c r="C1554" i="4" s="1"/>
  <c r="B326" i="4"/>
  <c r="C326" i="4" s="1"/>
  <c r="B572" i="4"/>
  <c r="C572" i="4" s="1"/>
  <c r="B1062" i="4"/>
  <c r="C1062" i="4" s="1"/>
  <c r="C67" i="4"/>
  <c r="B806" i="4"/>
  <c r="C806" i="4" s="1"/>
  <c r="B561" i="4"/>
  <c r="C561" i="4" s="1"/>
  <c r="B1543" i="4"/>
  <c r="C1543" i="4" s="1"/>
  <c r="B1297" i="4"/>
  <c r="C1297" i="4" s="1"/>
  <c r="B1051" i="4"/>
  <c r="C1051" i="4" s="1"/>
  <c r="B315" i="4"/>
  <c r="C315" i="4" s="1"/>
  <c r="B335" i="4"/>
  <c r="C335" i="4" s="1"/>
  <c r="B1317" i="4"/>
  <c r="C1317" i="4" s="1"/>
  <c r="B1563" i="4"/>
  <c r="C1563" i="4" s="1"/>
  <c r="B826" i="4"/>
  <c r="C826" i="4" s="1"/>
  <c r="B581" i="4"/>
  <c r="C581" i="4" s="1"/>
  <c r="B1071" i="4"/>
  <c r="C1071" i="4" s="1"/>
  <c r="C87" i="4"/>
  <c r="B316" i="4"/>
  <c r="C316" i="4" s="1"/>
  <c r="B1544" i="4"/>
  <c r="C1544" i="4" s="1"/>
  <c r="B807" i="4"/>
  <c r="C807" i="4" s="1"/>
  <c r="B1298" i="4"/>
  <c r="C1298" i="4" s="1"/>
  <c r="B1052" i="4"/>
  <c r="C1052" i="4" s="1"/>
  <c r="B562" i="4"/>
  <c r="C562" i="4" s="1"/>
  <c r="C68" i="4"/>
  <c r="B309" i="4"/>
  <c r="C309" i="4" s="1"/>
  <c r="C61" i="4"/>
  <c r="B555" i="4"/>
  <c r="C555" i="4" s="1"/>
  <c r="B1291" i="4"/>
  <c r="C1291" i="4" s="1"/>
  <c r="B800" i="4"/>
  <c r="C800" i="4" s="1"/>
  <c r="B1045" i="4"/>
  <c r="C1045" i="4" s="1"/>
  <c r="B1537" i="4"/>
  <c r="C1537" i="4" s="1"/>
  <c r="C85" i="4"/>
  <c r="B1315" i="4"/>
  <c r="C1315" i="4" s="1"/>
  <c r="B1561" i="4"/>
  <c r="C1561" i="4" s="1"/>
  <c r="B579" i="4"/>
  <c r="C579" i="4" s="1"/>
  <c r="B824" i="4"/>
  <c r="C824" i="4" s="1"/>
  <c r="B333" i="4"/>
  <c r="C333" i="4" s="1"/>
  <c r="B1069" i="4"/>
  <c r="C1069" i="4" s="1"/>
  <c r="B1314" i="4"/>
  <c r="C1314" i="4" s="1"/>
  <c r="B823" i="4"/>
  <c r="C823" i="4" s="1"/>
  <c r="B332" i="4"/>
  <c r="C332" i="4" s="1"/>
  <c r="B1560" i="4"/>
  <c r="C1560" i="4" s="1"/>
  <c r="B578" i="4"/>
  <c r="C578" i="4" s="1"/>
  <c r="C84" i="4"/>
  <c r="B1068" i="4"/>
  <c r="C1068" i="4" s="1"/>
  <c r="B1067" i="4"/>
  <c r="C1067" i="4" s="1"/>
  <c r="B1559" i="4"/>
  <c r="C1559" i="4" s="1"/>
  <c r="B577" i="4"/>
  <c r="C577" i="4" s="1"/>
  <c r="B331" i="4"/>
  <c r="C331" i="4" s="1"/>
  <c r="B822" i="4"/>
  <c r="C822" i="4" s="1"/>
  <c r="C83" i="4"/>
  <c r="B1313" i="4"/>
  <c r="C1313" i="4" s="1"/>
  <c r="B585" i="4"/>
  <c r="C585" i="4" s="1"/>
  <c r="B1075" i="4"/>
  <c r="C1075" i="4" s="1"/>
  <c r="B339" i="4"/>
  <c r="C339" i="4" s="1"/>
  <c r="C91" i="4"/>
  <c r="B830" i="4"/>
  <c r="C830" i="4" s="1"/>
  <c r="B1321" i="4"/>
  <c r="C1321" i="4" s="1"/>
  <c r="B1567" i="4"/>
  <c r="C1567" i="4" s="1"/>
  <c r="G65" i="4"/>
  <c r="J65" i="4" s="1"/>
  <c r="M65" i="4" s="1"/>
  <c r="L140" i="4" s="1"/>
  <c r="E65" i="4"/>
  <c r="H65" i="4" s="1"/>
  <c r="K65" i="4" s="1"/>
  <c r="N65" i="4" s="1"/>
  <c r="M140" i="4" s="1"/>
  <c r="E1049" i="4"/>
  <c r="H1049" i="4" s="1"/>
  <c r="K1049" i="4" s="1"/>
  <c r="N1049" i="4" s="1"/>
  <c r="M1124" i="4" s="1"/>
  <c r="G1049" i="4"/>
  <c r="J1049" i="4" s="1"/>
  <c r="M1049" i="4" s="1"/>
  <c r="L1124" i="4" s="1"/>
  <c r="K1446" i="4"/>
  <c r="L1446" i="4" s="1"/>
  <c r="M1406" i="4"/>
  <c r="K212" i="4"/>
  <c r="L212" i="4" s="1"/>
  <c r="M174" i="4"/>
  <c r="K1197" i="4"/>
  <c r="L1197" i="4" s="1"/>
  <c r="M1157" i="4"/>
  <c r="K1689" i="4"/>
  <c r="L1689" i="4" s="1"/>
  <c r="M1649" i="4"/>
  <c r="E801" i="4"/>
  <c r="H801" i="4" s="1"/>
  <c r="K801" i="4" s="1"/>
  <c r="N801" i="4" s="1"/>
  <c r="M876" i="4" s="1"/>
  <c r="G801" i="4"/>
  <c r="J801" i="4" s="1"/>
  <c r="M801" i="4" s="1"/>
  <c r="L876" i="4" s="1"/>
  <c r="G1557" i="4"/>
  <c r="J1557" i="4" s="1"/>
  <c r="M1557" i="4" s="1"/>
  <c r="L1632" i="4" s="1"/>
  <c r="E1557" i="4"/>
  <c r="H1557" i="4" s="1"/>
  <c r="K1557" i="4" s="1"/>
  <c r="N1557" i="4" s="1"/>
  <c r="M1632" i="4" s="1"/>
  <c r="K1462" i="4"/>
  <c r="L1462" i="4" s="1"/>
  <c r="M1422" i="4"/>
  <c r="K482" i="4"/>
  <c r="L482" i="4" s="1"/>
  <c r="M442" i="4"/>
  <c r="K1208" i="4"/>
  <c r="L1208" i="4" s="1"/>
  <c r="E812" i="4"/>
  <c r="H812" i="4" s="1"/>
  <c r="K812" i="4" s="1"/>
  <c r="N812" i="4" s="1"/>
  <c r="M887" i="4" s="1"/>
  <c r="G812" i="4"/>
  <c r="J812" i="4" s="1"/>
  <c r="M812" i="4" s="1"/>
  <c r="L887" i="4" s="1"/>
  <c r="E1549" i="4"/>
  <c r="H1549" i="4" s="1"/>
  <c r="K1549" i="4" s="1"/>
  <c r="N1549" i="4" s="1"/>
  <c r="M1624" i="4" s="1"/>
  <c r="G1549" i="4"/>
  <c r="J1549" i="4" s="1"/>
  <c r="M1549" i="4" s="1"/>
  <c r="L1624" i="4" s="1"/>
  <c r="K1454" i="4"/>
  <c r="L1454" i="4" s="1"/>
  <c r="M1414" i="4"/>
  <c r="E1043" i="4"/>
  <c r="H1043" i="4" s="1"/>
  <c r="K1043" i="4" s="1"/>
  <c r="N1043" i="4" s="1"/>
  <c r="M1118" i="4" s="1"/>
  <c r="G1043" i="4"/>
  <c r="J1043" i="4" s="1"/>
  <c r="M1043" i="4" s="1"/>
  <c r="L1118" i="4" s="1"/>
  <c r="G553" i="4"/>
  <c r="J553" i="4" s="1"/>
  <c r="M553" i="4" s="1"/>
  <c r="L628" i="4" s="1"/>
  <c r="E553" i="4"/>
  <c r="H553" i="4" s="1"/>
  <c r="K553" i="4" s="1"/>
  <c r="N553" i="4" s="1"/>
  <c r="M628" i="4" s="1"/>
  <c r="F1318" i="4"/>
  <c r="I1318" i="4" s="1"/>
  <c r="L1318" i="4" s="1"/>
  <c r="K1393" i="4" s="1"/>
  <c r="K1429" i="4" s="1"/>
  <c r="D1318" i="4"/>
  <c r="D582" i="4"/>
  <c r="F582" i="4"/>
  <c r="I582" i="4" s="1"/>
  <c r="L582" i="4" s="1"/>
  <c r="K657" i="4" s="1"/>
  <c r="K693" i="4" s="1"/>
  <c r="D1564" i="4"/>
  <c r="F1564" i="4"/>
  <c r="I1564" i="4" s="1"/>
  <c r="L1564" i="4" s="1"/>
  <c r="K1639" i="4" s="1"/>
  <c r="K1675" i="4" s="1"/>
  <c r="F560" i="4"/>
  <c r="I560" i="4" s="1"/>
  <c r="L560" i="4" s="1"/>
  <c r="K635" i="4" s="1"/>
  <c r="K671" i="4" s="1"/>
  <c r="D560" i="4"/>
  <c r="B1547" i="4"/>
  <c r="C1547" i="4" s="1"/>
  <c r="B1301" i="4"/>
  <c r="C1301" i="4" s="1"/>
  <c r="B810" i="4"/>
  <c r="C810" i="4" s="1"/>
  <c r="B319" i="4"/>
  <c r="C319" i="4" s="1"/>
  <c r="C71" i="4"/>
  <c r="B1055" i="4"/>
  <c r="C1055" i="4" s="1"/>
  <c r="B565" i="4"/>
  <c r="C565" i="4" s="1"/>
  <c r="B1047" i="4"/>
  <c r="C1047" i="4" s="1"/>
  <c r="C63" i="4"/>
  <c r="B1539" i="4"/>
  <c r="C1539" i="4" s="1"/>
  <c r="B557" i="4"/>
  <c r="C557" i="4" s="1"/>
  <c r="B1293" i="4"/>
  <c r="C1293" i="4" s="1"/>
  <c r="B311" i="4"/>
  <c r="C311" i="4" s="1"/>
  <c r="B802" i="4"/>
  <c r="C802" i="4" s="1"/>
  <c r="B583" i="4"/>
  <c r="C583" i="4" s="1"/>
  <c r="B1565" i="4"/>
  <c r="C1565" i="4" s="1"/>
  <c r="B828" i="4"/>
  <c r="C828" i="4" s="1"/>
  <c r="B337" i="4"/>
  <c r="C337" i="4" s="1"/>
  <c r="B1319" i="4"/>
  <c r="C1319" i="4" s="1"/>
  <c r="C89" i="4"/>
  <c r="B1073" i="4"/>
  <c r="C1073" i="4" s="1"/>
  <c r="B1540" i="4"/>
  <c r="C1540" i="4" s="1"/>
  <c r="B803" i="4"/>
  <c r="C803" i="4" s="1"/>
  <c r="B312" i="4"/>
  <c r="C312" i="4" s="1"/>
  <c r="B1294" i="4"/>
  <c r="C1294" i="4" s="1"/>
  <c r="B558" i="4"/>
  <c r="C558" i="4" s="1"/>
  <c r="C64" i="4"/>
  <c r="B1048" i="4"/>
  <c r="C1048" i="4" s="1"/>
  <c r="K41" i="5"/>
  <c r="L41" i="5" s="1"/>
  <c r="J195" i="5"/>
  <c r="K195" i="5" s="1"/>
  <c r="L195" i="5" s="1"/>
  <c r="B1548" i="4"/>
  <c r="C1548" i="4" s="1"/>
  <c r="C72" i="4"/>
  <c r="B320" i="4"/>
  <c r="C320" i="4" s="1"/>
  <c r="B1056" i="4"/>
  <c r="C1056" i="4" s="1"/>
  <c r="B566" i="4"/>
  <c r="C566" i="4" s="1"/>
  <c r="B1302" i="4"/>
  <c r="C1302" i="4" s="1"/>
  <c r="B811" i="4"/>
  <c r="C811" i="4" s="1"/>
  <c r="B322" i="4"/>
  <c r="C322" i="4" s="1"/>
  <c r="C74" i="4"/>
  <c r="B568" i="4"/>
  <c r="C568" i="4" s="1"/>
  <c r="B813" i="4"/>
  <c r="C813" i="4" s="1"/>
  <c r="B1304" i="4"/>
  <c r="C1304" i="4" s="1"/>
  <c r="B1058" i="4"/>
  <c r="C1058" i="4" s="1"/>
  <c r="B1550" i="4"/>
  <c r="C1550" i="4" s="1"/>
  <c r="B573" i="4"/>
  <c r="C573" i="4" s="1"/>
  <c r="B327" i="4"/>
  <c r="C327" i="4" s="1"/>
  <c r="B1309" i="4"/>
  <c r="C1309" i="4" s="1"/>
  <c r="B818" i="4"/>
  <c r="C818" i="4" s="1"/>
  <c r="C79" i="4"/>
  <c r="B1555" i="4"/>
  <c r="C1555" i="4" s="1"/>
  <c r="B1063" i="4"/>
  <c r="C1063" i="4" s="1"/>
  <c r="B574" i="4"/>
  <c r="C574" i="4" s="1"/>
  <c r="B328" i="4"/>
  <c r="C328" i="4" s="1"/>
  <c r="B1556" i="4"/>
  <c r="C1556" i="4" s="1"/>
  <c r="B1064" i="4"/>
  <c r="C1064" i="4" s="1"/>
  <c r="C80" i="4"/>
  <c r="B1310" i="4"/>
  <c r="C1310" i="4" s="1"/>
  <c r="B819" i="4"/>
  <c r="C819" i="4" s="1"/>
  <c r="B1551" i="4"/>
  <c r="C1551" i="4" s="1"/>
  <c r="B1305" i="4"/>
  <c r="C1305" i="4" s="1"/>
  <c r="B814" i="4"/>
  <c r="C814" i="4" s="1"/>
  <c r="C75" i="4"/>
  <c r="B323" i="4"/>
  <c r="C323" i="4" s="1"/>
  <c r="B1059" i="4"/>
  <c r="C1059" i="4" s="1"/>
  <c r="B569" i="4"/>
  <c r="C569" i="4" s="1"/>
  <c r="B334" i="4"/>
  <c r="C334" i="4" s="1"/>
  <c r="B580" i="4"/>
  <c r="C580" i="4" s="1"/>
  <c r="B1316" i="4"/>
  <c r="C1316" i="4" s="1"/>
  <c r="C86" i="4"/>
  <c r="B1070" i="4"/>
  <c r="C1070" i="4" s="1"/>
  <c r="B1562" i="4"/>
  <c r="C1562" i="4" s="1"/>
  <c r="B825" i="4"/>
  <c r="C825" i="4" s="1"/>
  <c r="B318" i="4"/>
  <c r="C318" i="4" s="1"/>
  <c r="B564" i="4"/>
  <c r="C564" i="4" s="1"/>
  <c r="B1054" i="4"/>
  <c r="C1054" i="4" s="1"/>
  <c r="C70" i="4"/>
  <c r="B1546" i="4"/>
  <c r="C1546" i="4" s="1"/>
  <c r="B809" i="4"/>
  <c r="C809" i="4" s="1"/>
  <c r="B1300" i="4"/>
  <c r="C1300" i="4" s="1"/>
  <c r="B317" i="4"/>
  <c r="C317" i="4" s="1"/>
  <c r="B563" i="4"/>
  <c r="C563" i="4" s="1"/>
  <c r="B1053" i="4"/>
  <c r="C1053" i="4" s="1"/>
  <c r="B808" i="4"/>
  <c r="C808" i="4" s="1"/>
  <c r="B1545" i="4"/>
  <c r="C1545" i="4" s="1"/>
  <c r="C69" i="4"/>
  <c r="B1299" i="4"/>
  <c r="C1299" i="4" s="1"/>
  <c r="O40" i="5"/>
  <c r="G114" i="5" s="1"/>
  <c r="I114" i="5" s="1"/>
  <c r="K1692" i="4"/>
  <c r="L1692" i="4" s="1"/>
  <c r="M1652" i="4"/>
  <c r="K710" i="4"/>
  <c r="L710" i="4" s="1"/>
  <c r="M670" i="4"/>
  <c r="K707" i="4"/>
  <c r="L707" i="4" s="1"/>
  <c r="M667" i="4"/>
  <c r="K726" i="4"/>
  <c r="L726" i="4" s="1"/>
  <c r="M686" i="4"/>
  <c r="K474" i="4"/>
  <c r="L474" i="4" s="1"/>
  <c r="M434" i="4"/>
  <c r="G1541" i="4"/>
  <c r="J1541" i="4" s="1"/>
  <c r="M1541" i="4" s="1"/>
  <c r="L1616" i="4" s="1"/>
  <c r="E1541" i="4"/>
  <c r="H1541" i="4" s="1"/>
  <c r="K1541" i="4" s="1"/>
  <c r="N1541" i="4" s="1"/>
  <c r="M1616" i="4" s="1"/>
  <c r="E313" i="4"/>
  <c r="H313" i="4" s="1"/>
  <c r="K313" i="4" s="1"/>
  <c r="N313" i="4" s="1"/>
  <c r="M390" i="4" s="1"/>
  <c r="G313" i="4"/>
  <c r="J313" i="4" s="1"/>
  <c r="M313" i="4" s="1"/>
  <c r="L390" i="4" s="1"/>
  <c r="E559" i="4"/>
  <c r="H559" i="4" s="1"/>
  <c r="K559" i="4" s="1"/>
  <c r="N559" i="4" s="1"/>
  <c r="M634" i="4" s="1"/>
  <c r="G559" i="4"/>
  <c r="J559" i="4" s="1"/>
  <c r="M559" i="4" s="1"/>
  <c r="L634" i="4" s="1"/>
  <c r="E804" i="4"/>
  <c r="H804" i="4" s="1"/>
  <c r="K804" i="4" s="1"/>
  <c r="N804" i="4" s="1"/>
  <c r="M879" i="4" s="1"/>
  <c r="G804" i="4"/>
  <c r="J804" i="4" s="1"/>
  <c r="M804" i="4" s="1"/>
  <c r="L879" i="4" s="1"/>
  <c r="K463" i="4"/>
  <c r="L463" i="4" s="1"/>
  <c r="E556" i="4"/>
  <c r="H556" i="4" s="1"/>
  <c r="K556" i="4" s="1"/>
  <c r="N556" i="4" s="1"/>
  <c r="M631" i="4" s="1"/>
  <c r="G556" i="4"/>
  <c r="J556" i="4" s="1"/>
  <c r="M556" i="4" s="1"/>
  <c r="L631" i="4" s="1"/>
  <c r="E1292" i="4"/>
  <c r="H1292" i="4" s="1"/>
  <c r="K1292" i="4" s="1"/>
  <c r="N1292" i="4" s="1"/>
  <c r="M1367" i="4" s="1"/>
  <c r="G1292" i="4"/>
  <c r="J1292" i="4" s="1"/>
  <c r="M1292" i="4" s="1"/>
  <c r="L1367" i="4" s="1"/>
  <c r="K1216" i="4"/>
  <c r="L1216" i="4" s="1"/>
  <c r="K231" i="4"/>
  <c r="L231" i="4" s="1"/>
  <c r="M193" i="4"/>
  <c r="E575" i="4"/>
  <c r="H575" i="4" s="1"/>
  <c r="K575" i="4" s="1"/>
  <c r="N575" i="4" s="1"/>
  <c r="M650" i="4" s="1"/>
  <c r="G575" i="4"/>
  <c r="J575" i="4" s="1"/>
  <c r="M575" i="4" s="1"/>
  <c r="L650" i="4" s="1"/>
  <c r="G820" i="4"/>
  <c r="J820" i="4" s="1"/>
  <c r="M820" i="4" s="1"/>
  <c r="L895" i="4" s="1"/>
  <c r="E820" i="4"/>
  <c r="H820" i="4" s="1"/>
  <c r="K820" i="4" s="1"/>
  <c r="N820" i="4" s="1"/>
  <c r="M895" i="4" s="1"/>
  <c r="K718" i="4"/>
  <c r="L718" i="4" s="1"/>
  <c r="M678" i="4"/>
  <c r="E321" i="4"/>
  <c r="H321" i="4" s="1"/>
  <c r="K321" i="4" s="1"/>
  <c r="N321" i="4" s="1"/>
  <c r="M398" i="4" s="1"/>
  <c r="G321" i="4"/>
  <c r="J321" i="4" s="1"/>
  <c r="M321" i="4" s="1"/>
  <c r="L398" i="4" s="1"/>
  <c r="E73" i="4"/>
  <c r="H73" i="4" s="1"/>
  <c r="K73" i="4" s="1"/>
  <c r="N73" i="4" s="1"/>
  <c r="M148" i="4" s="1"/>
  <c r="G73" i="4"/>
  <c r="J73" i="4" s="1"/>
  <c r="M73" i="4" s="1"/>
  <c r="L148" i="4" s="1"/>
  <c r="E307" i="4"/>
  <c r="H307" i="4" s="1"/>
  <c r="K307" i="4" s="1"/>
  <c r="N307" i="4" s="1"/>
  <c r="M384" i="4" s="1"/>
  <c r="G307" i="4"/>
  <c r="J307" i="4" s="1"/>
  <c r="M307" i="4" s="1"/>
  <c r="L384" i="4" s="1"/>
  <c r="G59" i="4"/>
  <c r="J59" i="4" s="1"/>
  <c r="M59" i="4" s="1"/>
  <c r="L134" i="4" s="1"/>
  <c r="E59" i="4"/>
  <c r="H59" i="4" s="1"/>
  <c r="K59" i="4" s="1"/>
  <c r="N59" i="4" s="1"/>
  <c r="M134" i="4" s="1"/>
  <c r="G798" i="4"/>
  <c r="J798" i="4" s="1"/>
  <c r="M798" i="4" s="1"/>
  <c r="L873" i="4" s="1"/>
  <c r="E798" i="4"/>
  <c r="H798" i="4" s="1"/>
  <c r="K798" i="4" s="1"/>
  <c r="N798" i="4" s="1"/>
  <c r="M873" i="4" s="1"/>
  <c r="N25" i="5"/>
  <c r="M25" i="5"/>
  <c r="J189" i="5"/>
  <c r="K189" i="5" s="1"/>
  <c r="L189" i="5" s="1"/>
  <c r="K35" i="5"/>
  <c r="L35" i="5" s="1"/>
  <c r="J203" i="5"/>
  <c r="K203" i="5" s="1"/>
  <c r="L203" i="5" s="1"/>
  <c r="K49" i="5"/>
  <c r="L49" i="5" s="1"/>
  <c r="K19" i="5"/>
  <c r="L19" i="5" s="1"/>
  <c r="J173" i="5"/>
  <c r="K173" i="5" s="1"/>
  <c r="L173" i="5" s="1"/>
  <c r="J190" i="5"/>
  <c r="K190" i="5" s="1"/>
  <c r="L190" i="5" s="1"/>
  <c r="K36" i="5"/>
  <c r="L36" i="5" s="1"/>
  <c r="J191" i="5"/>
  <c r="K191" i="5" s="1"/>
  <c r="L191" i="5" s="1"/>
  <c r="K37" i="5"/>
  <c r="L37" i="5" s="1"/>
  <c r="K26" i="5"/>
  <c r="L26" i="5" s="1"/>
  <c r="J180" i="5"/>
  <c r="K180" i="5" s="1"/>
  <c r="L180" i="5" s="1"/>
  <c r="J200" i="5"/>
  <c r="K200" i="5" s="1"/>
  <c r="L200" i="5" s="1"/>
  <c r="K46" i="5"/>
  <c r="L46" i="5" s="1"/>
  <c r="J181" i="5"/>
  <c r="K181" i="5" s="1"/>
  <c r="L181" i="5" s="1"/>
  <c r="K27" i="5"/>
  <c r="L27" i="5" s="1"/>
  <c r="J174" i="5"/>
  <c r="K174" i="5" s="1"/>
  <c r="L174" i="5" s="1"/>
  <c r="K20" i="5"/>
  <c r="L20" i="5" s="1"/>
  <c r="J198" i="5"/>
  <c r="K198" i="5" s="1"/>
  <c r="L198" i="5" s="1"/>
  <c r="K44" i="5"/>
  <c r="L44" i="5" s="1"/>
  <c r="J197" i="5"/>
  <c r="K197" i="5" s="1"/>
  <c r="L197" i="5" s="1"/>
  <c r="K43" i="5"/>
  <c r="L43" i="5" s="1"/>
  <c r="J196" i="5"/>
  <c r="K196" i="5" s="1"/>
  <c r="L196" i="5" s="1"/>
  <c r="K42" i="5"/>
  <c r="L42" i="5" s="1"/>
  <c r="K50" i="5"/>
  <c r="L50" i="5" s="1"/>
  <c r="J204" i="5"/>
  <c r="K204" i="5" s="1"/>
  <c r="L204" i="5" s="1"/>
  <c r="K215" i="4"/>
  <c r="L215" i="4" s="1"/>
  <c r="M177" i="4"/>
  <c r="K1200" i="4"/>
  <c r="L1200" i="4" s="1"/>
  <c r="M1160" i="4"/>
  <c r="E1295" i="4"/>
  <c r="H1295" i="4" s="1"/>
  <c r="K1295" i="4" s="1"/>
  <c r="N1295" i="4" s="1"/>
  <c r="M1370" i="4" s="1"/>
  <c r="G1295" i="4"/>
  <c r="J1295" i="4" s="1"/>
  <c r="M1295" i="4" s="1"/>
  <c r="L1370" i="4" s="1"/>
  <c r="G62" i="4"/>
  <c r="J62" i="4" s="1"/>
  <c r="M62" i="4" s="1"/>
  <c r="L137" i="4" s="1"/>
  <c r="E62" i="4"/>
  <c r="H62" i="4" s="1"/>
  <c r="K62" i="4" s="1"/>
  <c r="N62" i="4" s="1"/>
  <c r="M137" i="4" s="1"/>
  <c r="E1046" i="4"/>
  <c r="H1046" i="4" s="1"/>
  <c r="K1046" i="4" s="1"/>
  <c r="N1046" i="4" s="1"/>
  <c r="M1121" i="4" s="1"/>
  <c r="G1046" i="4"/>
  <c r="J1046" i="4" s="1"/>
  <c r="M1046" i="4" s="1"/>
  <c r="L1121" i="4" s="1"/>
  <c r="E1538" i="4"/>
  <c r="H1538" i="4" s="1"/>
  <c r="K1538" i="4" s="1"/>
  <c r="N1538" i="4" s="1"/>
  <c r="M1613" i="4" s="1"/>
  <c r="G1538" i="4"/>
  <c r="J1538" i="4" s="1"/>
  <c r="M1538" i="4" s="1"/>
  <c r="L1613" i="4" s="1"/>
  <c r="K952" i="4"/>
  <c r="L952" i="4" s="1"/>
  <c r="M912" i="4"/>
  <c r="K1708" i="4"/>
  <c r="L1708" i="4" s="1"/>
  <c r="M1668" i="4"/>
  <c r="G1311" i="4"/>
  <c r="J1311" i="4" s="1"/>
  <c r="M1311" i="4" s="1"/>
  <c r="L1386" i="4" s="1"/>
  <c r="E1311" i="4"/>
  <c r="H1311" i="4" s="1"/>
  <c r="K1311" i="4" s="1"/>
  <c r="N1311" i="4" s="1"/>
  <c r="M1386" i="4" s="1"/>
  <c r="G329" i="4"/>
  <c r="J329" i="4" s="1"/>
  <c r="M329" i="4" s="1"/>
  <c r="L406" i="4" s="1"/>
  <c r="E329" i="4"/>
  <c r="H329" i="4" s="1"/>
  <c r="K329" i="4" s="1"/>
  <c r="N329" i="4" s="1"/>
  <c r="M406" i="4" s="1"/>
  <c r="G1057" i="4"/>
  <c r="J1057" i="4" s="1"/>
  <c r="M1057" i="4" s="1"/>
  <c r="L1132" i="4" s="1"/>
  <c r="E1057" i="4"/>
  <c r="H1057" i="4" s="1"/>
  <c r="K1057" i="4" s="1"/>
  <c r="N1057" i="4" s="1"/>
  <c r="M1132" i="4" s="1"/>
  <c r="K963" i="4"/>
  <c r="L963" i="4" s="1"/>
  <c r="M923" i="4"/>
  <c r="K1700" i="4"/>
  <c r="L1700" i="4" s="1"/>
  <c r="M1660" i="4"/>
  <c r="G1303" i="4"/>
  <c r="J1303" i="4" s="1"/>
  <c r="M1303" i="4" s="1"/>
  <c r="L1378" i="4" s="1"/>
  <c r="E1303" i="4"/>
  <c r="H1303" i="4" s="1"/>
  <c r="K1303" i="4" s="1"/>
  <c r="N1303" i="4" s="1"/>
  <c r="M1378" i="4" s="1"/>
  <c r="K1686" i="4"/>
  <c r="L1686" i="4" s="1"/>
  <c r="M1646" i="4"/>
  <c r="F88" i="4"/>
  <c r="I88" i="4" s="1"/>
  <c r="L88" i="4" s="1"/>
  <c r="K163" i="4" s="1"/>
  <c r="K200" i="4" s="1"/>
  <c r="D88" i="4"/>
  <c r="D827" i="4"/>
  <c r="F827" i="4"/>
  <c r="I827" i="4" s="1"/>
  <c r="L827" i="4" s="1"/>
  <c r="K902" i="4" s="1"/>
  <c r="K938" i="4" s="1"/>
  <c r="D1072" i="4"/>
  <c r="F1072" i="4"/>
  <c r="I1072" i="4" s="1"/>
  <c r="L1072" i="4" s="1"/>
  <c r="K1147" i="4" s="1"/>
  <c r="K1183" i="4" s="1"/>
  <c r="D336" i="4"/>
  <c r="F336" i="4"/>
  <c r="I336" i="4" s="1"/>
  <c r="L336" i="4" s="1"/>
  <c r="K413" i="4" s="1"/>
  <c r="K449" i="4" s="1"/>
  <c r="J184" i="5"/>
  <c r="K184" i="5" s="1"/>
  <c r="L184" i="5" s="1"/>
  <c r="K30" i="5"/>
  <c r="L30" i="5" s="1"/>
  <c r="J176" i="5"/>
  <c r="K176" i="5" s="1"/>
  <c r="L176" i="5" s="1"/>
  <c r="K22" i="5"/>
  <c r="L22" i="5" s="1"/>
  <c r="J202" i="5"/>
  <c r="K202" i="5" s="1"/>
  <c r="L202" i="5" s="1"/>
  <c r="K48" i="5"/>
  <c r="L48" i="5" s="1"/>
  <c r="J177" i="5"/>
  <c r="K177" i="5" s="1"/>
  <c r="L177" i="5" s="1"/>
  <c r="K23" i="5"/>
  <c r="L23" i="5" s="1"/>
  <c r="B1558" i="4"/>
  <c r="C1558" i="4" s="1"/>
  <c r="B1066" i="4"/>
  <c r="C1066" i="4" s="1"/>
  <c r="B821" i="4"/>
  <c r="C821" i="4" s="1"/>
  <c r="B330" i="4"/>
  <c r="C330" i="4" s="1"/>
  <c r="B576" i="4"/>
  <c r="C576" i="4" s="1"/>
  <c r="B1312" i="4"/>
  <c r="C1312" i="4" s="1"/>
  <c r="C82" i="4"/>
  <c r="J185" i="5"/>
  <c r="K185" i="5" s="1"/>
  <c r="L185" i="5" s="1"/>
  <c r="K31" i="5"/>
  <c r="L31" i="5" s="1"/>
  <c r="J187" i="5"/>
  <c r="K187" i="5" s="1"/>
  <c r="L187" i="5" s="1"/>
  <c r="K33" i="5"/>
  <c r="L33" i="5" s="1"/>
  <c r="J192" i="5"/>
  <c r="K192" i="5" s="1"/>
  <c r="L192" i="5" s="1"/>
  <c r="K38" i="5"/>
  <c r="L38" i="5" s="1"/>
  <c r="J193" i="5"/>
  <c r="K193" i="5" s="1"/>
  <c r="L193" i="5" s="1"/>
  <c r="K39" i="5"/>
  <c r="L39" i="5" s="1"/>
  <c r="J188" i="5"/>
  <c r="K188" i="5" s="1"/>
  <c r="L188" i="5" s="1"/>
  <c r="K34" i="5"/>
  <c r="L34" i="5" s="1"/>
  <c r="J199" i="5"/>
  <c r="K199" i="5" s="1"/>
  <c r="L199" i="5" s="1"/>
  <c r="K45" i="5"/>
  <c r="L45" i="5" s="1"/>
  <c r="J183" i="5"/>
  <c r="K183" i="5" s="1"/>
  <c r="L183" i="5" s="1"/>
  <c r="K29" i="5"/>
  <c r="L29" i="5" s="1"/>
  <c r="J182" i="5"/>
  <c r="K182" i="5" s="1"/>
  <c r="L182" i="5" s="1"/>
  <c r="K28" i="5"/>
  <c r="L28" i="5" s="1"/>
  <c r="O24" i="5"/>
  <c r="G98" i="5" s="1"/>
  <c r="I98" i="5" s="1"/>
  <c r="O178" i="5"/>
  <c r="G252" i="5" s="1"/>
  <c r="I252" i="5" s="1"/>
  <c r="G1535" i="4" l="1"/>
  <c r="J1535" i="4" s="1"/>
  <c r="M1535" i="4" s="1"/>
  <c r="L1610" i="4" s="1"/>
  <c r="M1154" i="4"/>
  <c r="M664" i="4"/>
  <c r="N201" i="5"/>
  <c r="O201" i="5" s="1"/>
  <c r="G275" i="5" s="1"/>
  <c r="I275" i="5" s="1"/>
  <c r="E311" i="5" s="1"/>
  <c r="D1542" i="4"/>
  <c r="E1542" i="4" s="1"/>
  <c r="H1542" i="4" s="1"/>
  <c r="K1542" i="4" s="1"/>
  <c r="N1542" i="4" s="1"/>
  <c r="M1617" i="4" s="1"/>
  <c r="F1050" i="4"/>
  <c r="I1050" i="4" s="1"/>
  <c r="L1050" i="4" s="1"/>
  <c r="K1125" i="4" s="1"/>
  <c r="K1161" i="4" s="1"/>
  <c r="K1201" i="4" s="1"/>
  <c r="L1201" i="4" s="1"/>
  <c r="K460" i="4"/>
  <c r="L460" i="4" s="1"/>
  <c r="H1723" i="4" s="1"/>
  <c r="G1289" i="4"/>
  <c r="J1289" i="4" s="1"/>
  <c r="M1289" i="4" s="1"/>
  <c r="L1364" i="4" s="1"/>
  <c r="E296" i="5"/>
  <c r="F66" i="4"/>
  <c r="I66" i="4" s="1"/>
  <c r="L66" i="4" s="1"/>
  <c r="K141" i="4" s="1"/>
  <c r="K178" i="4" s="1"/>
  <c r="K216" i="4" s="1"/>
  <c r="L216" i="4" s="1"/>
  <c r="D1296" i="4"/>
  <c r="E1296" i="4" s="1"/>
  <c r="H1296" i="4" s="1"/>
  <c r="K1296" i="4" s="1"/>
  <c r="N1296" i="4" s="1"/>
  <c r="M1371" i="4" s="1"/>
  <c r="B282" i="5"/>
  <c r="B318" i="5" s="1"/>
  <c r="F805" i="4"/>
  <c r="I805" i="4" s="1"/>
  <c r="L805" i="4" s="1"/>
  <c r="K880" i="4" s="1"/>
  <c r="K916" i="4" s="1"/>
  <c r="K956" i="4" s="1"/>
  <c r="L956" i="4" s="1"/>
  <c r="D314" i="4"/>
  <c r="E314" i="4" s="1"/>
  <c r="H314" i="4" s="1"/>
  <c r="K314" i="4" s="1"/>
  <c r="N314" i="4" s="1"/>
  <c r="M391" i="4" s="1"/>
  <c r="B304" i="5"/>
  <c r="B285" i="5"/>
  <c r="B321" i="5" s="1"/>
  <c r="L91" i="2"/>
  <c r="H121" i="1" s="1"/>
  <c r="E131" i="5"/>
  <c r="E321" i="5" s="1"/>
  <c r="E128" i="5"/>
  <c r="E318" i="5" s="1"/>
  <c r="B1729" i="4"/>
  <c r="H1745" i="4"/>
  <c r="H1737" i="4"/>
  <c r="L16" i="2"/>
  <c r="H51" i="1" s="1"/>
  <c r="B1018" i="4" s="1"/>
  <c r="C1018" i="4" s="1"/>
  <c r="G51" i="1"/>
  <c r="D1017" i="4"/>
  <c r="F1017" i="4"/>
  <c r="I1017" i="4" s="1"/>
  <c r="L1017" i="4" s="1"/>
  <c r="C1130" i="4" s="1"/>
  <c r="J1166" i="4" s="1"/>
  <c r="V344" i="2"/>
  <c r="U344" i="2"/>
  <c r="K92" i="2" s="1"/>
  <c r="X274" i="2"/>
  <c r="Q274" i="2"/>
  <c r="R274" i="2" s="1"/>
  <c r="Q345" i="2"/>
  <c r="R345" i="2" s="1"/>
  <c r="X345" i="2"/>
  <c r="M17" i="2"/>
  <c r="T273" i="2"/>
  <c r="W273" i="2" s="1"/>
  <c r="G1016" i="4"/>
  <c r="J1016" i="4" s="1"/>
  <c r="M1016" i="4" s="1"/>
  <c r="D1129" i="4" s="1"/>
  <c r="E1016" i="4"/>
  <c r="H1016" i="4" s="1"/>
  <c r="K1016" i="4" s="1"/>
  <c r="N1016" i="4" s="1"/>
  <c r="E1129" i="4" s="1"/>
  <c r="T344" i="2"/>
  <c r="W344" i="2" s="1"/>
  <c r="M92" i="2"/>
  <c r="S276" i="2"/>
  <c r="S346" i="2"/>
  <c r="P346" i="2" s="1"/>
  <c r="P275" i="2"/>
  <c r="U273" i="2"/>
  <c r="K17" i="2" s="1"/>
  <c r="V273" i="2"/>
  <c r="O47" i="5"/>
  <c r="G121" i="5" s="1"/>
  <c r="I121" i="5" s="1"/>
  <c r="E157" i="5" s="1"/>
  <c r="E134" i="5"/>
  <c r="B134" i="5"/>
  <c r="M183" i="5"/>
  <c r="N183" i="5"/>
  <c r="M188" i="5"/>
  <c r="N188" i="5"/>
  <c r="M192" i="5"/>
  <c r="N192" i="5"/>
  <c r="N187" i="5"/>
  <c r="M187" i="5"/>
  <c r="M185" i="5"/>
  <c r="N185" i="5"/>
  <c r="F1312" i="4"/>
  <c r="I1312" i="4" s="1"/>
  <c r="L1312" i="4" s="1"/>
  <c r="K1387" i="4" s="1"/>
  <c r="K1423" i="4" s="1"/>
  <c r="D1312" i="4"/>
  <c r="D330" i="4"/>
  <c r="F330" i="4"/>
  <c r="I330" i="4" s="1"/>
  <c r="L330" i="4" s="1"/>
  <c r="K407" i="4" s="1"/>
  <c r="K443" i="4" s="1"/>
  <c r="F1066" i="4"/>
  <c r="I1066" i="4" s="1"/>
  <c r="L1066" i="4" s="1"/>
  <c r="K1141" i="4" s="1"/>
  <c r="K1177" i="4" s="1"/>
  <c r="D1066" i="4"/>
  <c r="M23" i="5"/>
  <c r="N23" i="5"/>
  <c r="N48" i="5"/>
  <c r="M48" i="5"/>
  <c r="M22" i="5"/>
  <c r="N22" i="5"/>
  <c r="M30" i="5"/>
  <c r="N30" i="5"/>
  <c r="K1447" i="4"/>
  <c r="L1447" i="4" s="1"/>
  <c r="M1407" i="4"/>
  <c r="E1050" i="4"/>
  <c r="H1050" i="4" s="1"/>
  <c r="K1050" i="4" s="1"/>
  <c r="N1050" i="4" s="1"/>
  <c r="M1125" i="4" s="1"/>
  <c r="G1050" i="4"/>
  <c r="J1050" i="4" s="1"/>
  <c r="M1050" i="4" s="1"/>
  <c r="L1125" i="4" s="1"/>
  <c r="K489" i="4"/>
  <c r="L489" i="4" s="1"/>
  <c r="M449" i="4"/>
  <c r="K1223" i="4"/>
  <c r="L1223" i="4" s="1"/>
  <c r="K978" i="4"/>
  <c r="L978" i="4" s="1"/>
  <c r="M938" i="4"/>
  <c r="E88" i="4"/>
  <c r="H88" i="4" s="1"/>
  <c r="K88" i="4" s="1"/>
  <c r="N88" i="4" s="1"/>
  <c r="M163" i="4" s="1"/>
  <c r="G88" i="4"/>
  <c r="J88" i="4" s="1"/>
  <c r="M88" i="4" s="1"/>
  <c r="L163" i="4" s="1"/>
  <c r="N204" i="5"/>
  <c r="M204" i="5"/>
  <c r="N42" i="5"/>
  <c r="M42" i="5"/>
  <c r="M43" i="5"/>
  <c r="N43" i="5"/>
  <c r="M44" i="5"/>
  <c r="N44" i="5"/>
  <c r="M20" i="5"/>
  <c r="N20" i="5"/>
  <c r="M27" i="5"/>
  <c r="N27" i="5"/>
  <c r="M46" i="5"/>
  <c r="N46" i="5"/>
  <c r="M180" i="5"/>
  <c r="N180" i="5"/>
  <c r="N37" i="5"/>
  <c r="M37" i="5"/>
  <c r="N36" i="5"/>
  <c r="M36" i="5"/>
  <c r="M173" i="5"/>
  <c r="N173" i="5"/>
  <c r="M49" i="5"/>
  <c r="N49" i="5"/>
  <c r="N35" i="5"/>
  <c r="M35" i="5"/>
  <c r="E142" i="5"/>
  <c r="B142" i="5"/>
  <c r="B332" i="5" s="1"/>
  <c r="D1299" i="4"/>
  <c r="F1299" i="4"/>
  <c r="I1299" i="4" s="1"/>
  <c r="L1299" i="4" s="1"/>
  <c r="K1374" i="4" s="1"/>
  <c r="K1410" i="4" s="1"/>
  <c r="D1545" i="4"/>
  <c r="F1545" i="4"/>
  <c r="I1545" i="4" s="1"/>
  <c r="L1545" i="4" s="1"/>
  <c r="K1620" i="4" s="1"/>
  <c r="K1656" i="4" s="1"/>
  <c r="F1053" i="4"/>
  <c r="I1053" i="4" s="1"/>
  <c r="L1053" i="4" s="1"/>
  <c r="K1128" i="4" s="1"/>
  <c r="K1164" i="4" s="1"/>
  <c r="D1053" i="4"/>
  <c r="F317" i="4"/>
  <c r="I317" i="4" s="1"/>
  <c r="L317" i="4" s="1"/>
  <c r="K394" i="4" s="1"/>
  <c r="K430" i="4" s="1"/>
  <c r="D317" i="4"/>
  <c r="F809" i="4"/>
  <c r="I809" i="4" s="1"/>
  <c r="L809" i="4" s="1"/>
  <c r="K884" i="4" s="1"/>
  <c r="K920" i="4" s="1"/>
  <c r="D809" i="4"/>
  <c r="F70" i="4"/>
  <c r="I70" i="4" s="1"/>
  <c r="L70" i="4" s="1"/>
  <c r="K145" i="4" s="1"/>
  <c r="K182" i="4" s="1"/>
  <c r="D70" i="4"/>
  <c r="D564" i="4"/>
  <c r="F564" i="4"/>
  <c r="I564" i="4" s="1"/>
  <c r="L564" i="4" s="1"/>
  <c r="K639" i="4" s="1"/>
  <c r="K675" i="4" s="1"/>
  <c r="F825" i="4"/>
  <c r="I825" i="4" s="1"/>
  <c r="L825" i="4" s="1"/>
  <c r="K900" i="4" s="1"/>
  <c r="K936" i="4" s="1"/>
  <c r="D825" i="4"/>
  <c r="F1070" i="4"/>
  <c r="I1070" i="4" s="1"/>
  <c r="L1070" i="4" s="1"/>
  <c r="K1145" i="4" s="1"/>
  <c r="K1181" i="4" s="1"/>
  <c r="D1070" i="4"/>
  <c r="F1316" i="4"/>
  <c r="I1316" i="4" s="1"/>
  <c r="L1316" i="4" s="1"/>
  <c r="K1391" i="4" s="1"/>
  <c r="K1427" i="4" s="1"/>
  <c r="D1316" i="4"/>
  <c r="D334" i="4"/>
  <c r="F334" i="4"/>
  <c r="I334" i="4" s="1"/>
  <c r="L334" i="4" s="1"/>
  <c r="K411" i="4" s="1"/>
  <c r="K447" i="4" s="1"/>
  <c r="F1059" i="4"/>
  <c r="I1059" i="4" s="1"/>
  <c r="L1059" i="4" s="1"/>
  <c r="K1134" i="4" s="1"/>
  <c r="K1170" i="4" s="1"/>
  <c r="D1059" i="4"/>
  <c r="D75" i="4"/>
  <c r="F75" i="4"/>
  <c r="I75" i="4" s="1"/>
  <c r="L75" i="4" s="1"/>
  <c r="K150" i="4" s="1"/>
  <c r="K187" i="4" s="1"/>
  <c r="D1305" i="4"/>
  <c r="F1305" i="4"/>
  <c r="I1305" i="4" s="1"/>
  <c r="L1305" i="4" s="1"/>
  <c r="K1380" i="4" s="1"/>
  <c r="K1416" i="4" s="1"/>
  <c r="D819" i="4"/>
  <c r="F819" i="4"/>
  <c r="I819" i="4" s="1"/>
  <c r="L819" i="4" s="1"/>
  <c r="K894" i="4" s="1"/>
  <c r="K930" i="4" s="1"/>
  <c r="D80" i="4"/>
  <c r="F80" i="4"/>
  <c r="I80" i="4" s="1"/>
  <c r="L80" i="4" s="1"/>
  <c r="K155" i="4" s="1"/>
  <c r="K192" i="4" s="1"/>
  <c r="F1556" i="4"/>
  <c r="I1556" i="4" s="1"/>
  <c r="L1556" i="4" s="1"/>
  <c r="K1631" i="4" s="1"/>
  <c r="K1667" i="4" s="1"/>
  <c r="D1556" i="4"/>
  <c r="F574" i="4"/>
  <c r="I574" i="4" s="1"/>
  <c r="L574" i="4" s="1"/>
  <c r="K649" i="4" s="1"/>
  <c r="K685" i="4" s="1"/>
  <c r="D574" i="4"/>
  <c r="F1555" i="4"/>
  <c r="I1555" i="4" s="1"/>
  <c r="L1555" i="4" s="1"/>
  <c r="K1630" i="4" s="1"/>
  <c r="K1666" i="4" s="1"/>
  <c r="D1555" i="4"/>
  <c r="F818" i="4"/>
  <c r="I818" i="4" s="1"/>
  <c r="L818" i="4" s="1"/>
  <c r="K893" i="4" s="1"/>
  <c r="K929" i="4" s="1"/>
  <c r="D818" i="4"/>
  <c r="F327" i="4"/>
  <c r="I327" i="4" s="1"/>
  <c r="L327" i="4" s="1"/>
  <c r="K404" i="4" s="1"/>
  <c r="K440" i="4" s="1"/>
  <c r="D327" i="4"/>
  <c r="F1550" i="4"/>
  <c r="I1550" i="4" s="1"/>
  <c r="L1550" i="4" s="1"/>
  <c r="K1625" i="4" s="1"/>
  <c r="K1661" i="4" s="1"/>
  <c r="D1550" i="4"/>
  <c r="F1304" i="4"/>
  <c r="I1304" i="4" s="1"/>
  <c r="L1304" i="4" s="1"/>
  <c r="K1379" i="4" s="1"/>
  <c r="K1415" i="4" s="1"/>
  <c r="D1304" i="4"/>
  <c r="F568" i="4"/>
  <c r="I568" i="4" s="1"/>
  <c r="L568" i="4" s="1"/>
  <c r="K643" i="4" s="1"/>
  <c r="K679" i="4" s="1"/>
  <c r="D568" i="4"/>
  <c r="F322" i="4"/>
  <c r="I322" i="4" s="1"/>
  <c r="L322" i="4" s="1"/>
  <c r="K399" i="4" s="1"/>
  <c r="K435" i="4" s="1"/>
  <c r="D322" i="4"/>
  <c r="D1302" i="4"/>
  <c r="F1302" i="4"/>
  <c r="I1302" i="4" s="1"/>
  <c r="L1302" i="4" s="1"/>
  <c r="K1377" i="4" s="1"/>
  <c r="K1413" i="4" s="1"/>
  <c r="F1056" i="4"/>
  <c r="I1056" i="4" s="1"/>
  <c r="L1056" i="4" s="1"/>
  <c r="K1131" i="4" s="1"/>
  <c r="K1167" i="4" s="1"/>
  <c r="D1056" i="4"/>
  <c r="D72" i="4"/>
  <c r="F72" i="4"/>
  <c r="I72" i="4" s="1"/>
  <c r="L72" i="4" s="1"/>
  <c r="K147" i="4" s="1"/>
  <c r="K184" i="4" s="1"/>
  <c r="N195" i="5"/>
  <c r="M195" i="5"/>
  <c r="F1048" i="4"/>
  <c r="I1048" i="4" s="1"/>
  <c r="L1048" i="4" s="1"/>
  <c r="K1123" i="4" s="1"/>
  <c r="K1159" i="4" s="1"/>
  <c r="D1048" i="4"/>
  <c r="F558" i="4"/>
  <c r="I558" i="4" s="1"/>
  <c r="L558" i="4" s="1"/>
  <c r="K633" i="4" s="1"/>
  <c r="K669" i="4" s="1"/>
  <c r="D558" i="4"/>
  <c r="F312" i="4"/>
  <c r="I312" i="4" s="1"/>
  <c r="L312" i="4" s="1"/>
  <c r="K389" i="4" s="1"/>
  <c r="K425" i="4" s="1"/>
  <c r="D312" i="4"/>
  <c r="D1540" i="4"/>
  <c r="F1540" i="4"/>
  <c r="I1540" i="4" s="1"/>
  <c r="L1540" i="4" s="1"/>
  <c r="K1615" i="4" s="1"/>
  <c r="K1651" i="4" s="1"/>
  <c r="F89" i="4"/>
  <c r="I89" i="4" s="1"/>
  <c r="L89" i="4" s="1"/>
  <c r="K164" i="4" s="1"/>
  <c r="K201" i="4" s="1"/>
  <c r="D89" i="4"/>
  <c r="F337" i="4"/>
  <c r="I337" i="4" s="1"/>
  <c r="L337" i="4" s="1"/>
  <c r="K414" i="4" s="1"/>
  <c r="K450" i="4" s="1"/>
  <c r="D337" i="4"/>
  <c r="F1565" i="4"/>
  <c r="I1565" i="4" s="1"/>
  <c r="L1565" i="4" s="1"/>
  <c r="K1640" i="4" s="1"/>
  <c r="K1676" i="4" s="1"/>
  <c r="D1565" i="4"/>
  <c r="D802" i="4"/>
  <c r="F802" i="4"/>
  <c r="I802" i="4" s="1"/>
  <c r="L802" i="4" s="1"/>
  <c r="K877" i="4" s="1"/>
  <c r="K913" i="4" s="1"/>
  <c r="D1293" i="4"/>
  <c r="F1293" i="4"/>
  <c r="I1293" i="4" s="1"/>
  <c r="L1293" i="4" s="1"/>
  <c r="K1368" i="4" s="1"/>
  <c r="K1404" i="4" s="1"/>
  <c r="F1539" i="4"/>
  <c r="I1539" i="4" s="1"/>
  <c r="L1539" i="4" s="1"/>
  <c r="K1614" i="4" s="1"/>
  <c r="K1650" i="4" s="1"/>
  <c r="D1539" i="4"/>
  <c r="D1047" i="4"/>
  <c r="F1047" i="4"/>
  <c r="I1047" i="4" s="1"/>
  <c r="L1047" i="4" s="1"/>
  <c r="K1122" i="4" s="1"/>
  <c r="K1158" i="4" s="1"/>
  <c r="F1055" i="4"/>
  <c r="I1055" i="4" s="1"/>
  <c r="L1055" i="4" s="1"/>
  <c r="K1130" i="4" s="1"/>
  <c r="K1166" i="4" s="1"/>
  <c r="D1055" i="4"/>
  <c r="D319" i="4"/>
  <c r="F319" i="4"/>
  <c r="I319" i="4" s="1"/>
  <c r="L319" i="4" s="1"/>
  <c r="K396" i="4" s="1"/>
  <c r="K432" i="4" s="1"/>
  <c r="D1301" i="4"/>
  <c r="F1301" i="4"/>
  <c r="I1301" i="4" s="1"/>
  <c r="L1301" i="4" s="1"/>
  <c r="K1376" i="4" s="1"/>
  <c r="K1412" i="4" s="1"/>
  <c r="E560" i="4"/>
  <c r="H560" i="4" s="1"/>
  <c r="K560" i="4" s="1"/>
  <c r="N560" i="4" s="1"/>
  <c r="M635" i="4" s="1"/>
  <c r="G560" i="4"/>
  <c r="J560" i="4" s="1"/>
  <c r="M560" i="4" s="1"/>
  <c r="L635" i="4" s="1"/>
  <c r="K1715" i="4"/>
  <c r="L1715" i="4" s="1"/>
  <c r="M1675" i="4"/>
  <c r="K733" i="4"/>
  <c r="L733" i="4" s="1"/>
  <c r="M693" i="4"/>
  <c r="G1318" i="4"/>
  <c r="J1318" i="4" s="1"/>
  <c r="M1318" i="4" s="1"/>
  <c r="L1393" i="4" s="1"/>
  <c r="E1318" i="4"/>
  <c r="H1318" i="4" s="1"/>
  <c r="K1318" i="4" s="1"/>
  <c r="N1318" i="4" s="1"/>
  <c r="M1393" i="4" s="1"/>
  <c r="F1567" i="4"/>
  <c r="I1567" i="4" s="1"/>
  <c r="L1567" i="4" s="1"/>
  <c r="K1642" i="4" s="1"/>
  <c r="K1678" i="4" s="1"/>
  <c r="D1567" i="4"/>
  <c r="D830" i="4"/>
  <c r="F830" i="4"/>
  <c r="I830" i="4" s="1"/>
  <c r="L830" i="4" s="1"/>
  <c r="K905" i="4" s="1"/>
  <c r="K941" i="4" s="1"/>
  <c r="F339" i="4"/>
  <c r="I339" i="4" s="1"/>
  <c r="L339" i="4" s="1"/>
  <c r="K416" i="4" s="1"/>
  <c r="K452" i="4" s="1"/>
  <c r="D339" i="4"/>
  <c r="D585" i="4"/>
  <c r="F585" i="4"/>
  <c r="I585" i="4" s="1"/>
  <c r="L585" i="4" s="1"/>
  <c r="K660" i="4" s="1"/>
  <c r="K696" i="4" s="1"/>
  <c r="F83" i="4"/>
  <c r="I83" i="4" s="1"/>
  <c r="L83" i="4" s="1"/>
  <c r="K158" i="4" s="1"/>
  <c r="K195" i="4" s="1"/>
  <c r="D83" i="4"/>
  <c r="D331" i="4"/>
  <c r="F331" i="4"/>
  <c r="I331" i="4" s="1"/>
  <c r="L331" i="4" s="1"/>
  <c r="K408" i="4" s="1"/>
  <c r="K444" i="4" s="1"/>
  <c r="D1559" i="4"/>
  <c r="F1559" i="4"/>
  <c r="I1559" i="4" s="1"/>
  <c r="L1559" i="4" s="1"/>
  <c r="K1634" i="4" s="1"/>
  <c r="K1670" i="4" s="1"/>
  <c r="D1068" i="4"/>
  <c r="F1068" i="4"/>
  <c r="I1068" i="4" s="1"/>
  <c r="L1068" i="4" s="1"/>
  <c r="K1143" i="4" s="1"/>
  <c r="K1179" i="4" s="1"/>
  <c r="D578" i="4"/>
  <c r="F578" i="4"/>
  <c r="I578" i="4" s="1"/>
  <c r="L578" i="4" s="1"/>
  <c r="K653" i="4" s="1"/>
  <c r="K689" i="4" s="1"/>
  <c r="D332" i="4"/>
  <c r="F332" i="4"/>
  <c r="I332" i="4" s="1"/>
  <c r="L332" i="4" s="1"/>
  <c r="K409" i="4" s="1"/>
  <c r="K445" i="4" s="1"/>
  <c r="F1314" i="4"/>
  <c r="I1314" i="4" s="1"/>
  <c r="L1314" i="4" s="1"/>
  <c r="K1389" i="4" s="1"/>
  <c r="K1425" i="4" s="1"/>
  <c r="D1314" i="4"/>
  <c r="F333" i="4"/>
  <c r="I333" i="4" s="1"/>
  <c r="L333" i="4" s="1"/>
  <c r="K410" i="4" s="1"/>
  <c r="K446" i="4" s="1"/>
  <c r="D333" i="4"/>
  <c r="D579" i="4"/>
  <c r="F579" i="4"/>
  <c r="I579" i="4" s="1"/>
  <c r="L579" i="4" s="1"/>
  <c r="K654" i="4" s="1"/>
  <c r="K690" i="4" s="1"/>
  <c r="F1315" i="4"/>
  <c r="I1315" i="4" s="1"/>
  <c r="L1315" i="4" s="1"/>
  <c r="K1390" i="4" s="1"/>
  <c r="K1426" i="4" s="1"/>
  <c r="D1315" i="4"/>
  <c r="F1537" i="4"/>
  <c r="I1537" i="4" s="1"/>
  <c r="L1537" i="4" s="1"/>
  <c r="K1612" i="4" s="1"/>
  <c r="K1648" i="4" s="1"/>
  <c r="D1537" i="4"/>
  <c r="D800" i="4"/>
  <c r="F800" i="4"/>
  <c r="I800" i="4" s="1"/>
  <c r="L800" i="4" s="1"/>
  <c r="K875" i="4" s="1"/>
  <c r="K911" i="4" s="1"/>
  <c r="F555" i="4"/>
  <c r="I555" i="4" s="1"/>
  <c r="L555" i="4" s="1"/>
  <c r="K630" i="4" s="1"/>
  <c r="K666" i="4" s="1"/>
  <c r="D555" i="4"/>
  <c r="F309" i="4"/>
  <c r="I309" i="4" s="1"/>
  <c r="L309" i="4" s="1"/>
  <c r="K386" i="4" s="1"/>
  <c r="K422" i="4" s="1"/>
  <c r="D309" i="4"/>
  <c r="D562" i="4"/>
  <c r="F562" i="4"/>
  <c r="I562" i="4" s="1"/>
  <c r="L562" i="4" s="1"/>
  <c r="K637" i="4" s="1"/>
  <c r="K673" i="4" s="1"/>
  <c r="F1298" i="4"/>
  <c r="I1298" i="4" s="1"/>
  <c r="L1298" i="4" s="1"/>
  <c r="K1373" i="4" s="1"/>
  <c r="K1409" i="4" s="1"/>
  <c r="D1298" i="4"/>
  <c r="F1544" i="4"/>
  <c r="I1544" i="4" s="1"/>
  <c r="L1544" i="4" s="1"/>
  <c r="K1619" i="4" s="1"/>
  <c r="K1655" i="4" s="1"/>
  <c r="D1544" i="4"/>
  <c r="F87" i="4"/>
  <c r="I87" i="4" s="1"/>
  <c r="L87" i="4" s="1"/>
  <c r="K162" i="4" s="1"/>
  <c r="K199" i="4" s="1"/>
  <c r="D87" i="4"/>
  <c r="F581" i="4"/>
  <c r="I581" i="4" s="1"/>
  <c r="L581" i="4" s="1"/>
  <c r="K656" i="4" s="1"/>
  <c r="K692" i="4" s="1"/>
  <c r="D581" i="4"/>
  <c r="D1563" i="4"/>
  <c r="F1563" i="4"/>
  <c r="I1563" i="4" s="1"/>
  <c r="L1563" i="4" s="1"/>
  <c r="K1638" i="4" s="1"/>
  <c r="K1674" i="4" s="1"/>
  <c r="F335" i="4"/>
  <c r="I335" i="4" s="1"/>
  <c r="L335" i="4" s="1"/>
  <c r="K412" i="4" s="1"/>
  <c r="K448" i="4" s="1"/>
  <c r="D335" i="4"/>
  <c r="D1051" i="4"/>
  <c r="F1051" i="4"/>
  <c r="I1051" i="4" s="1"/>
  <c r="L1051" i="4" s="1"/>
  <c r="K1126" i="4" s="1"/>
  <c r="K1162" i="4" s="1"/>
  <c r="F1543" i="4"/>
  <c r="I1543" i="4" s="1"/>
  <c r="L1543" i="4" s="1"/>
  <c r="K1618" i="4" s="1"/>
  <c r="K1654" i="4" s="1"/>
  <c r="D1543" i="4"/>
  <c r="D806" i="4"/>
  <c r="F806" i="4"/>
  <c r="I806" i="4" s="1"/>
  <c r="L806" i="4" s="1"/>
  <c r="K881" i="4" s="1"/>
  <c r="K917" i="4" s="1"/>
  <c r="F1062" i="4"/>
  <c r="I1062" i="4" s="1"/>
  <c r="L1062" i="4" s="1"/>
  <c r="K1137" i="4" s="1"/>
  <c r="K1173" i="4" s="1"/>
  <c r="D1062" i="4"/>
  <c r="D326" i="4"/>
  <c r="F326" i="4"/>
  <c r="I326" i="4" s="1"/>
  <c r="L326" i="4" s="1"/>
  <c r="K403" i="4" s="1"/>
  <c r="K439" i="4" s="1"/>
  <c r="F817" i="4"/>
  <c r="I817" i="4" s="1"/>
  <c r="L817" i="4" s="1"/>
  <c r="K892" i="4" s="1"/>
  <c r="K928" i="4" s="1"/>
  <c r="D817" i="4"/>
  <c r="D78" i="4"/>
  <c r="F78" i="4"/>
  <c r="I78" i="4" s="1"/>
  <c r="L78" i="4" s="1"/>
  <c r="K153" i="4" s="1"/>
  <c r="K190" i="4" s="1"/>
  <c r="F1307" i="4"/>
  <c r="I1307" i="4" s="1"/>
  <c r="L1307" i="4" s="1"/>
  <c r="K1382" i="4" s="1"/>
  <c r="K1418" i="4" s="1"/>
  <c r="D1307" i="4"/>
  <c r="F1553" i="4"/>
  <c r="I1553" i="4" s="1"/>
  <c r="L1553" i="4" s="1"/>
  <c r="K1628" i="4" s="1"/>
  <c r="K1664" i="4" s="1"/>
  <c r="D1553" i="4"/>
  <c r="D1061" i="4"/>
  <c r="F1061" i="4"/>
  <c r="I1061" i="4" s="1"/>
  <c r="L1061" i="4" s="1"/>
  <c r="K1136" i="4" s="1"/>
  <c r="K1172" i="4" s="1"/>
  <c r="D1536" i="4"/>
  <c r="F1536" i="4"/>
  <c r="I1536" i="4" s="1"/>
  <c r="L1536" i="4" s="1"/>
  <c r="K1611" i="4" s="1"/>
  <c r="K1647" i="4" s="1"/>
  <c r="F799" i="4"/>
  <c r="I799" i="4" s="1"/>
  <c r="L799" i="4" s="1"/>
  <c r="K874" i="4" s="1"/>
  <c r="K910" i="4" s="1"/>
  <c r="D799" i="4"/>
  <c r="D1290" i="4"/>
  <c r="F1290" i="4"/>
  <c r="I1290" i="4" s="1"/>
  <c r="L1290" i="4" s="1"/>
  <c r="K1365" i="4" s="1"/>
  <c r="K1401" i="4" s="1"/>
  <c r="F308" i="4"/>
  <c r="I308" i="4" s="1"/>
  <c r="L308" i="4" s="1"/>
  <c r="K385" i="4" s="1"/>
  <c r="K421" i="4" s="1"/>
  <c r="D308" i="4"/>
  <c r="D829" i="4"/>
  <c r="F829" i="4"/>
  <c r="I829" i="4" s="1"/>
  <c r="L829" i="4" s="1"/>
  <c r="K904" i="4" s="1"/>
  <c r="K940" i="4" s="1"/>
  <c r="D90" i="4"/>
  <c r="F90" i="4"/>
  <c r="I90" i="4" s="1"/>
  <c r="L90" i="4" s="1"/>
  <c r="K165" i="4" s="1"/>
  <c r="K202" i="4" s="1"/>
  <c r="D1320" i="4"/>
  <c r="F1320" i="4"/>
  <c r="I1320" i="4" s="1"/>
  <c r="L1320" i="4" s="1"/>
  <c r="K1395" i="4" s="1"/>
  <c r="K1431" i="4" s="1"/>
  <c r="F570" i="4"/>
  <c r="I570" i="4" s="1"/>
  <c r="L570" i="4" s="1"/>
  <c r="K645" i="4" s="1"/>
  <c r="K681" i="4" s="1"/>
  <c r="D570" i="4"/>
  <c r="F324" i="4"/>
  <c r="I324" i="4" s="1"/>
  <c r="L324" i="4" s="1"/>
  <c r="K401" i="4" s="1"/>
  <c r="K437" i="4" s="1"/>
  <c r="D324" i="4"/>
  <c r="D815" i="4"/>
  <c r="F815" i="4"/>
  <c r="I815" i="4" s="1"/>
  <c r="L815" i="4" s="1"/>
  <c r="K890" i="4" s="1"/>
  <c r="K926" i="4" s="1"/>
  <c r="F1552" i="4"/>
  <c r="I1552" i="4" s="1"/>
  <c r="L1552" i="4" s="1"/>
  <c r="K1627" i="4" s="1"/>
  <c r="K1663" i="4" s="1"/>
  <c r="D1552" i="4"/>
  <c r="B1723" i="4"/>
  <c r="O25" i="5"/>
  <c r="G99" i="5" s="1"/>
  <c r="I99" i="5" s="1"/>
  <c r="B1726" i="4"/>
  <c r="M182" i="5"/>
  <c r="N182" i="5"/>
  <c r="N199" i="5"/>
  <c r="M199" i="5"/>
  <c r="N193" i="5"/>
  <c r="M193" i="5"/>
  <c r="E288" i="5"/>
  <c r="B288" i="5"/>
  <c r="N28" i="5"/>
  <c r="M28" i="5"/>
  <c r="N29" i="5"/>
  <c r="M29" i="5"/>
  <c r="M45" i="5"/>
  <c r="N45" i="5"/>
  <c r="N34" i="5"/>
  <c r="M34" i="5"/>
  <c r="N39" i="5"/>
  <c r="M39" i="5"/>
  <c r="M38" i="5"/>
  <c r="N38" i="5"/>
  <c r="N33" i="5"/>
  <c r="M33" i="5"/>
  <c r="N31" i="5"/>
  <c r="M31" i="5"/>
  <c r="F82" i="4"/>
  <c r="I82" i="4" s="1"/>
  <c r="L82" i="4" s="1"/>
  <c r="K157" i="4" s="1"/>
  <c r="K194" i="4" s="1"/>
  <c r="D82" i="4"/>
  <c r="D576" i="4"/>
  <c r="F576" i="4"/>
  <c r="I576" i="4" s="1"/>
  <c r="L576" i="4" s="1"/>
  <c r="K651" i="4" s="1"/>
  <c r="K687" i="4" s="1"/>
  <c r="F821" i="4"/>
  <c r="I821" i="4" s="1"/>
  <c r="L821" i="4" s="1"/>
  <c r="K896" i="4" s="1"/>
  <c r="K932" i="4" s="1"/>
  <c r="D821" i="4"/>
  <c r="F1558" i="4"/>
  <c r="I1558" i="4" s="1"/>
  <c r="L1558" i="4" s="1"/>
  <c r="K1633" i="4" s="1"/>
  <c r="K1669" i="4" s="1"/>
  <c r="D1558" i="4"/>
  <c r="M177" i="5"/>
  <c r="N177" i="5"/>
  <c r="N202" i="5"/>
  <c r="M202" i="5"/>
  <c r="M176" i="5"/>
  <c r="N176" i="5"/>
  <c r="M184" i="5"/>
  <c r="N184" i="5"/>
  <c r="E66" i="4"/>
  <c r="H66" i="4" s="1"/>
  <c r="K66" i="4" s="1"/>
  <c r="N66" i="4" s="1"/>
  <c r="M141" i="4" s="1"/>
  <c r="G66" i="4"/>
  <c r="J66" i="4" s="1"/>
  <c r="M66" i="4" s="1"/>
  <c r="L141" i="4" s="1"/>
  <c r="E336" i="4"/>
  <c r="H336" i="4" s="1"/>
  <c r="K336" i="4" s="1"/>
  <c r="N336" i="4" s="1"/>
  <c r="M413" i="4" s="1"/>
  <c r="G336" i="4"/>
  <c r="J336" i="4" s="1"/>
  <c r="M336" i="4" s="1"/>
  <c r="L413" i="4" s="1"/>
  <c r="E1072" i="4"/>
  <c r="H1072" i="4" s="1"/>
  <c r="K1072" i="4" s="1"/>
  <c r="N1072" i="4" s="1"/>
  <c r="M1147" i="4" s="1"/>
  <c r="G1072" i="4"/>
  <c r="J1072" i="4" s="1"/>
  <c r="M1072" i="4" s="1"/>
  <c r="L1147" i="4" s="1"/>
  <c r="E827" i="4"/>
  <c r="H827" i="4" s="1"/>
  <c r="K827" i="4" s="1"/>
  <c r="N827" i="4" s="1"/>
  <c r="M902" i="4" s="1"/>
  <c r="G827" i="4"/>
  <c r="J827" i="4" s="1"/>
  <c r="M827" i="4" s="1"/>
  <c r="L902" i="4" s="1"/>
  <c r="K238" i="4"/>
  <c r="L238" i="4" s="1"/>
  <c r="M200" i="4"/>
  <c r="M50" i="5"/>
  <c r="N50" i="5"/>
  <c r="N196" i="5"/>
  <c r="M196" i="5"/>
  <c r="M197" i="5"/>
  <c r="N197" i="5"/>
  <c r="M198" i="5"/>
  <c r="N198" i="5"/>
  <c r="M174" i="5"/>
  <c r="N174" i="5"/>
  <c r="N181" i="5"/>
  <c r="M181" i="5"/>
  <c r="M200" i="5"/>
  <c r="N200" i="5"/>
  <c r="N26" i="5"/>
  <c r="M26" i="5"/>
  <c r="M191" i="5"/>
  <c r="N191" i="5"/>
  <c r="M190" i="5"/>
  <c r="N190" i="5"/>
  <c r="M19" i="5"/>
  <c r="N19" i="5"/>
  <c r="M203" i="5"/>
  <c r="N203" i="5"/>
  <c r="M189" i="5"/>
  <c r="N189" i="5"/>
  <c r="E150" i="5"/>
  <c r="E340" i="5" s="1"/>
  <c r="B150" i="5"/>
  <c r="D69" i="4"/>
  <c r="F69" i="4"/>
  <c r="I69" i="4" s="1"/>
  <c r="L69" i="4" s="1"/>
  <c r="K144" i="4" s="1"/>
  <c r="K181" i="4" s="1"/>
  <c r="D808" i="4"/>
  <c r="F808" i="4"/>
  <c r="I808" i="4" s="1"/>
  <c r="L808" i="4" s="1"/>
  <c r="K883" i="4" s="1"/>
  <c r="K919" i="4" s="1"/>
  <c r="D563" i="4"/>
  <c r="F563" i="4"/>
  <c r="I563" i="4" s="1"/>
  <c r="L563" i="4" s="1"/>
  <c r="K638" i="4" s="1"/>
  <c r="K674" i="4" s="1"/>
  <c r="F1300" i="4"/>
  <c r="I1300" i="4" s="1"/>
  <c r="L1300" i="4" s="1"/>
  <c r="K1375" i="4" s="1"/>
  <c r="K1411" i="4" s="1"/>
  <c r="D1300" i="4"/>
  <c r="F1546" i="4"/>
  <c r="I1546" i="4" s="1"/>
  <c r="L1546" i="4" s="1"/>
  <c r="K1621" i="4" s="1"/>
  <c r="K1657" i="4" s="1"/>
  <c r="D1546" i="4"/>
  <c r="F1054" i="4"/>
  <c r="I1054" i="4" s="1"/>
  <c r="L1054" i="4" s="1"/>
  <c r="K1129" i="4" s="1"/>
  <c r="K1165" i="4" s="1"/>
  <c r="D1054" i="4"/>
  <c r="D318" i="4"/>
  <c r="F318" i="4"/>
  <c r="I318" i="4" s="1"/>
  <c r="L318" i="4" s="1"/>
  <c r="K395" i="4" s="1"/>
  <c r="K431" i="4" s="1"/>
  <c r="D1562" i="4"/>
  <c r="F1562" i="4"/>
  <c r="I1562" i="4" s="1"/>
  <c r="L1562" i="4" s="1"/>
  <c r="K1637" i="4" s="1"/>
  <c r="K1673" i="4" s="1"/>
  <c r="D86" i="4"/>
  <c r="F86" i="4"/>
  <c r="I86" i="4" s="1"/>
  <c r="L86" i="4" s="1"/>
  <c r="K161" i="4" s="1"/>
  <c r="K198" i="4" s="1"/>
  <c r="F580" i="4"/>
  <c r="I580" i="4" s="1"/>
  <c r="L580" i="4" s="1"/>
  <c r="K655" i="4" s="1"/>
  <c r="K691" i="4" s="1"/>
  <c r="D580" i="4"/>
  <c r="D569" i="4"/>
  <c r="F569" i="4"/>
  <c r="I569" i="4" s="1"/>
  <c r="L569" i="4" s="1"/>
  <c r="K644" i="4" s="1"/>
  <c r="K680" i="4" s="1"/>
  <c r="D323" i="4"/>
  <c r="F323" i="4"/>
  <c r="I323" i="4" s="1"/>
  <c r="L323" i="4" s="1"/>
  <c r="K400" i="4" s="1"/>
  <c r="K436" i="4" s="1"/>
  <c r="D814" i="4"/>
  <c r="F814" i="4"/>
  <c r="I814" i="4" s="1"/>
  <c r="L814" i="4" s="1"/>
  <c r="K889" i="4" s="1"/>
  <c r="K925" i="4" s="1"/>
  <c r="F1551" i="4"/>
  <c r="I1551" i="4" s="1"/>
  <c r="L1551" i="4" s="1"/>
  <c r="K1626" i="4" s="1"/>
  <c r="K1662" i="4" s="1"/>
  <c r="D1551" i="4"/>
  <c r="D1310" i="4"/>
  <c r="F1310" i="4"/>
  <c r="I1310" i="4" s="1"/>
  <c r="L1310" i="4" s="1"/>
  <c r="K1385" i="4" s="1"/>
  <c r="K1421" i="4" s="1"/>
  <c r="F1064" i="4"/>
  <c r="I1064" i="4" s="1"/>
  <c r="L1064" i="4" s="1"/>
  <c r="K1139" i="4" s="1"/>
  <c r="K1175" i="4" s="1"/>
  <c r="D1064" i="4"/>
  <c r="D328" i="4"/>
  <c r="F328" i="4"/>
  <c r="I328" i="4" s="1"/>
  <c r="L328" i="4" s="1"/>
  <c r="K405" i="4" s="1"/>
  <c r="K441" i="4" s="1"/>
  <c r="D1063" i="4"/>
  <c r="F1063" i="4"/>
  <c r="I1063" i="4" s="1"/>
  <c r="L1063" i="4" s="1"/>
  <c r="K1138" i="4" s="1"/>
  <c r="K1174" i="4" s="1"/>
  <c r="D79" i="4"/>
  <c r="F79" i="4"/>
  <c r="I79" i="4" s="1"/>
  <c r="L79" i="4" s="1"/>
  <c r="K154" i="4" s="1"/>
  <c r="K191" i="4" s="1"/>
  <c r="F1309" i="4"/>
  <c r="I1309" i="4" s="1"/>
  <c r="L1309" i="4" s="1"/>
  <c r="K1384" i="4" s="1"/>
  <c r="K1420" i="4" s="1"/>
  <c r="D1309" i="4"/>
  <c r="D573" i="4"/>
  <c r="F573" i="4"/>
  <c r="I573" i="4" s="1"/>
  <c r="L573" i="4" s="1"/>
  <c r="K648" i="4" s="1"/>
  <c r="K684" i="4" s="1"/>
  <c r="F1058" i="4"/>
  <c r="I1058" i="4" s="1"/>
  <c r="L1058" i="4" s="1"/>
  <c r="K1133" i="4" s="1"/>
  <c r="K1169" i="4" s="1"/>
  <c r="D1058" i="4"/>
  <c r="F813" i="4"/>
  <c r="I813" i="4" s="1"/>
  <c r="L813" i="4" s="1"/>
  <c r="K888" i="4" s="1"/>
  <c r="K924" i="4" s="1"/>
  <c r="D813" i="4"/>
  <c r="D74" i="4"/>
  <c r="F74" i="4"/>
  <c r="I74" i="4" s="1"/>
  <c r="L74" i="4" s="1"/>
  <c r="K149" i="4" s="1"/>
  <c r="K186" i="4" s="1"/>
  <c r="D811" i="4"/>
  <c r="F811" i="4"/>
  <c r="I811" i="4" s="1"/>
  <c r="L811" i="4" s="1"/>
  <c r="K886" i="4" s="1"/>
  <c r="K922" i="4" s="1"/>
  <c r="F566" i="4"/>
  <c r="I566" i="4" s="1"/>
  <c r="L566" i="4" s="1"/>
  <c r="K641" i="4" s="1"/>
  <c r="K677" i="4" s="1"/>
  <c r="D566" i="4"/>
  <c r="D320" i="4"/>
  <c r="F320" i="4"/>
  <c r="I320" i="4" s="1"/>
  <c r="L320" i="4" s="1"/>
  <c r="K397" i="4" s="1"/>
  <c r="K433" i="4" s="1"/>
  <c r="F1548" i="4"/>
  <c r="I1548" i="4" s="1"/>
  <c r="L1548" i="4" s="1"/>
  <c r="K1623" i="4" s="1"/>
  <c r="K1659" i="4" s="1"/>
  <c r="D1548" i="4"/>
  <c r="M41" i="5"/>
  <c r="N41" i="5"/>
  <c r="F64" i="4"/>
  <c r="I64" i="4" s="1"/>
  <c r="L64" i="4" s="1"/>
  <c r="K139" i="4" s="1"/>
  <c r="K176" i="4" s="1"/>
  <c r="D64" i="4"/>
  <c r="D1294" i="4"/>
  <c r="F1294" i="4"/>
  <c r="I1294" i="4" s="1"/>
  <c r="L1294" i="4" s="1"/>
  <c r="K1369" i="4" s="1"/>
  <c r="K1405" i="4" s="1"/>
  <c r="D803" i="4"/>
  <c r="F803" i="4"/>
  <c r="I803" i="4" s="1"/>
  <c r="L803" i="4" s="1"/>
  <c r="K878" i="4" s="1"/>
  <c r="K914" i="4" s="1"/>
  <c r="D1073" i="4"/>
  <c r="F1073" i="4"/>
  <c r="I1073" i="4" s="1"/>
  <c r="L1073" i="4" s="1"/>
  <c r="K1148" i="4" s="1"/>
  <c r="K1184" i="4" s="1"/>
  <c r="D1319" i="4"/>
  <c r="F1319" i="4"/>
  <c r="I1319" i="4" s="1"/>
  <c r="L1319" i="4" s="1"/>
  <c r="K1394" i="4" s="1"/>
  <c r="K1430" i="4" s="1"/>
  <c r="F828" i="4"/>
  <c r="I828" i="4" s="1"/>
  <c r="L828" i="4" s="1"/>
  <c r="K903" i="4" s="1"/>
  <c r="K939" i="4" s="1"/>
  <c r="D828" i="4"/>
  <c r="D583" i="4"/>
  <c r="F583" i="4"/>
  <c r="I583" i="4" s="1"/>
  <c r="L583" i="4" s="1"/>
  <c r="K658" i="4" s="1"/>
  <c r="K694" i="4" s="1"/>
  <c r="F311" i="4"/>
  <c r="I311" i="4" s="1"/>
  <c r="L311" i="4" s="1"/>
  <c r="K388" i="4" s="1"/>
  <c r="K424" i="4" s="1"/>
  <c r="D311" i="4"/>
  <c r="F557" i="4"/>
  <c r="I557" i="4" s="1"/>
  <c r="L557" i="4" s="1"/>
  <c r="K632" i="4" s="1"/>
  <c r="K668" i="4" s="1"/>
  <c r="D557" i="4"/>
  <c r="F63" i="4"/>
  <c r="I63" i="4" s="1"/>
  <c r="L63" i="4" s="1"/>
  <c r="K138" i="4" s="1"/>
  <c r="K175" i="4" s="1"/>
  <c r="D63" i="4"/>
  <c r="F565" i="4"/>
  <c r="I565" i="4" s="1"/>
  <c r="L565" i="4" s="1"/>
  <c r="K640" i="4" s="1"/>
  <c r="K676" i="4" s="1"/>
  <c r="D565" i="4"/>
  <c r="D71" i="4"/>
  <c r="F71" i="4"/>
  <c r="I71" i="4" s="1"/>
  <c r="L71" i="4" s="1"/>
  <c r="K146" i="4" s="1"/>
  <c r="K183" i="4" s="1"/>
  <c r="D810" i="4"/>
  <c r="F810" i="4"/>
  <c r="I810" i="4" s="1"/>
  <c r="L810" i="4" s="1"/>
  <c r="K885" i="4" s="1"/>
  <c r="K921" i="4" s="1"/>
  <c r="D1547" i="4"/>
  <c r="F1547" i="4"/>
  <c r="I1547" i="4" s="1"/>
  <c r="L1547" i="4" s="1"/>
  <c r="K1622" i="4" s="1"/>
  <c r="K1658" i="4" s="1"/>
  <c r="K467" i="4"/>
  <c r="L467" i="4" s="1"/>
  <c r="M427" i="4"/>
  <c r="G805" i="4"/>
  <c r="J805" i="4" s="1"/>
  <c r="M805" i="4" s="1"/>
  <c r="L880" i="4" s="1"/>
  <c r="E805" i="4"/>
  <c r="H805" i="4" s="1"/>
  <c r="K805" i="4" s="1"/>
  <c r="N805" i="4" s="1"/>
  <c r="M880" i="4" s="1"/>
  <c r="K1693" i="4"/>
  <c r="L1693" i="4" s="1"/>
  <c r="M1653" i="4"/>
  <c r="K711" i="4"/>
  <c r="L711" i="4" s="1"/>
  <c r="M671" i="4"/>
  <c r="E1564" i="4"/>
  <c r="H1564" i="4" s="1"/>
  <c r="K1564" i="4" s="1"/>
  <c r="N1564" i="4" s="1"/>
  <c r="M1639" i="4" s="1"/>
  <c r="G1564" i="4"/>
  <c r="J1564" i="4" s="1"/>
  <c r="M1564" i="4" s="1"/>
  <c r="L1639" i="4" s="1"/>
  <c r="G582" i="4"/>
  <c r="J582" i="4" s="1"/>
  <c r="M582" i="4" s="1"/>
  <c r="L657" i="4" s="1"/>
  <c r="E582" i="4"/>
  <c r="H582" i="4" s="1"/>
  <c r="K582" i="4" s="1"/>
  <c r="N582" i="4" s="1"/>
  <c r="M657" i="4" s="1"/>
  <c r="K1469" i="4"/>
  <c r="L1469" i="4" s="1"/>
  <c r="M1429" i="4"/>
  <c r="D1321" i="4"/>
  <c r="F1321" i="4"/>
  <c r="I1321" i="4" s="1"/>
  <c r="L1321" i="4" s="1"/>
  <c r="K1396" i="4" s="1"/>
  <c r="K1432" i="4" s="1"/>
  <c r="F91" i="4"/>
  <c r="I91" i="4" s="1"/>
  <c r="L91" i="4" s="1"/>
  <c r="K166" i="4" s="1"/>
  <c r="K203" i="4" s="1"/>
  <c r="D91" i="4"/>
  <c r="F1075" i="4"/>
  <c r="I1075" i="4" s="1"/>
  <c r="L1075" i="4" s="1"/>
  <c r="K1150" i="4" s="1"/>
  <c r="K1186" i="4" s="1"/>
  <c r="D1075" i="4"/>
  <c r="F1313" i="4"/>
  <c r="I1313" i="4" s="1"/>
  <c r="L1313" i="4" s="1"/>
  <c r="K1388" i="4" s="1"/>
  <c r="K1424" i="4" s="1"/>
  <c r="D1313" i="4"/>
  <c r="F822" i="4"/>
  <c r="I822" i="4" s="1"/>
  <c r="L822" i="4" s="1"/>
  <c r="K897" i="4" s="1"/>
  <c r="K933" i="4" s="1"/>
  <c r="D822" i="4"/>
  <c r="D577" i="4"/>
  <c r="F577" i="4"/>
  <c r="I577" i="4" s="1"/>
  <c r="L577" i="4" s="1"/>
  <c r="K652" i="4" s="1"/>
  <c r="K688" i="4" s="1"/>
  <c r="F1067" i="4"/>
  <c r="I1067" i="4" s="1"/>
  <c r="L1067" i="4" s="1"/>
  <c r="K1142" i="4" s="1"/>
  <c r="K1178" i="4" s="1"/>
  <c r="D1067" i="4"/>
  <c r="D84" i="4"/>
  <c r="F84" i="4"/>
  <c r="I84" i="4" s="1"/>
  <c r="L84" i="4" s="1"/>
  <c r="K159" i="4" s="1"/>
  <c r="K196" i="4" s="1"/>
  <c r="F1560" i="4"/>
  <c r="I1560" i="4" s="1"/>
  <c r="L1560" i="4" s="1"/>
  <c r="K1635" i="4" s="1"/>
  <c r="K1671" i="4" s="1"/>
  <c r="D1560" i="4"/>
  <c r="D823" i="4"/>
  <c r="F823" i="4"/>
  <c r="I823" i="4" s="1"/>
  <c r="L823" i="4" s="1"/>
  <c r="K898" i="4" s="1"/>
  <c r="K934" i="4" s="1"/>
  <c r="D1069" i="4"/>
  <c r="F1069" i="4"/>
  <c r="I1069" i="4" s="1"/>
  <c r="L1069" i="4" s="1"/>
  <c r="K1144" i="4" s="1"/>
  <c r="K1180" i="4" s="1"/>
  <c r="F824" i="4"/>
  <c r="I824" i="4" s="1"/>
  <c r="L824" i="4" s="1"/>
  <c r="K899" i="4" s="1"/>
  <c r="K935" i="4" s="1"/>
  <c r="D824" i="4"/>
  <c r="F1561" i="4"/>
  <c r="I1561" i="4" s="1"/>
  <c r="L1561" i="4" s="1"/>
  <c r="K1636" i="4" s="1"/>
  <c r="K1672" i="4" s="1"/>
  <c r="D1561" i="4"/>
  <c r="D85" i="4"/>
  <c r="F85" i="4"/>
  <c r="I85" i="4" s="1"/>
  <c r="L85" i="4" s="1"/>
  <c r="K160" i="4" s="1"/>
  <c r="K197" i="4" s="1"/>
  <c r="F1045" i="4"/>
  <c r="I1045" i="4" s="1"/>
  <c r="L1045" i="4" s="1"/>
  <c r="K1120" i="4" s="1"/>
  <c r="K1156" i="4" s="1"/>
  <c r="D1045" i="4"/>
  <c r="F1291" i="4"/>
  <c r="I1291" i="4" s="1"/>
  <c r="L1291" i="4" s="1"/>
  <c r="K1366" i="4" s="1"/>
  <c r="K1402" i="4" s="1"/>
  <c r="D1291" i="4"/>
  <c r="F61" i="4"/>
  <c r="I61" i="4" s="1"/>
  <c r="L61" i="4" s="1"/>
  <c r="K136" i="4" s="1"/>
  <c r="K173" i="4" s="1"/>
  <c r="D61" i="4"/>
  <c r="D68" i="4"/>
  <c r="F68" i="4"/>
  <c r="I68" i="4" s="1"/>
  <c r="L68" i="4" s="1"/>
  <c r="K143" i="4" s="1"/>
  <c r="K180" i="4" s="1"/>
  <c r="F1052" i="4"/>
  <c r="I1052" i="4" s="1"/>
  <c r="L1052" i="4" s="1"/>
  <c r="K1127" i="4" s="1"/>
  <c r="K1163" i="4" s="1"/>
  <c r="D1052" i="4"/>
  <c r="D807" i="4"/>
  <c r="F807" i="4"/>
  <c r="I807" i="4" s="1"/>
  <c r="L807" i="4" s="1"/>
  <c r="K882" i="4" s="1"/>
  <c r="K918" i="4" s="1"/>
  <c r="D316" i="4"/>
  <c r="F316" i="4"/>
  <c r="I316" i="4" s="1"/>
  <c r="L316" i="4" s="1"/>
  <c r="K393" i="4" s="1"/>
  <c r="K429" i="4" s="1"/>
  <c r="D1071" i="4"/>
  <c r="F1071" i="4"/>
  <c r="I1071" i="4" s="1"/>
  <c r="L1071" i="4" s="1"/>
  <c r="K1146" i="4" s="1"/>
  <c r="K1182" i="4" s="1"/>
  <c r="F826" i="4"/>
  <c r="I826" i="4" s="1"/>
  <c r="L826" i="4" s="1"/>
  <c r="K901" i="4" s="1"/>
  <c r="K937" i="4" s="1"/>
  <c r="D826" i="4"/>
  <c r="F1317" i="4"/>
  <c r="I1317" i="4" s="1"/>
  <c r="L1317" i="4" s="1"/>
  <c r="K1392" i="4" s="1"/>
  <c r="K1428" i="4" s="1"/>
  <c r="D1317" i="4"/>
  <c r="F315" i="4"/>
  <c r="I315" i="4" s="1"/>
  <c r="L315" i="4" s="1"/>
  <c r="K392" i="4" s="1"/>
  <c r="K428" i="4" s="1"/>
  <c r="D315" i="4"/>
  <c r="F1297" i="4"/>
  <c r="I1297" i="4" s="1"/>
  <c r="L1297" i="4" s="1"/>
  <c r="K1372" i="4" s="1"/>
  <c r="K1408" i="4" s="1"/>
  <c r="D1297" i="4"/>
  <c r="F561" i="4"/>
  <c r="I561" i="4" s="1"/>
  <c r="L561" i="4" s="1"/>
  <c r="K636" i="4" s="1"/>
  <c r="K672" i="4" s="1"/>
  <c r="D561" i="4"/>
  <c r="F67" i="4"/>
  <c r="I67" i="4" s="1"/>
  <c r="L67" i="4" s="1"/>
  <c r="K142" i="4" s="1"/>
  <c r="K179" i="4" s="1"/>
  <c r="D67" i="4"/>
  <c r="F572" i="4"/>
  <c r="I572" i="4" s="1"/>
  <c r="L572" i="4" s="1"/>
  <c r="K647" i="4" s="1"/>
  <c r="K683" i="4" s="1"/>
  <c r="D572" i="4"/>
  <c r="F1554" i="4"/>
  <c r="I1554" i="4" s="1"/>
  <c r="L1554" i="4" s="1"/>
  <c r="K1629" i="4" s="1"/>
  <c r="K1665" i="4" s="1"/>
  <c r="D1554" i="4"/>
  <c r="D1308" i="4"/>
  <c r="F1308" i="4"/>
  <c r="I1308" i="4" s="1"/>
  <c r="L1308" i="4" s="1"/>
  <c r="K1383" i="4" s="1"/>
  <c r="K1419" i="4" s="1"/>
  <c r="D77" i="4"/>
  <c r="F77" i="4"/>
  <c r="I77" i="4" s="1"/>
  <c r="L77" i="4" s="1"/>
  <c r="K152" i="4" s="1"/>
  <c r="K189" i="4" s="1"/>
  <c r="D571" i="4"/>
  <c r="F571" i="4"/>
  <c r="I571" i="4" s="1"/>
  <c r="L571" i="4" s="1"/>
  <c r="K646" i="4" s="1"/>
  <c r="K682" i="4" s="1"/>
  <c r="D816" i="4"/>
  <c r="F816" i="4"/>
  <c r="I816" i="4" s="1"/>
  <c r="L816" i="4" s="1"/>
  <c r="K891" i="4" s="1"/>
  <c r="K927" i="4" s="1"/>
  <c r="F325" i="4"/>
  <c r="I325" i="4" s="1"/>
  <c r="L325" i="4" s="1"/>
  <c r="K402" i="4" s="1"/>
  <c r="K438" i="4" s="1"/>
  <c r="D325" i="4"/>
  <c r="D1044" i="4"/>
  <c r="F1044" i="4"/>
  <c r="I1044" i="4" s="1"/>
  <c r="L1044" i="4" s="1"/>
  <c r="K1119" i="4" s="1"/>
  <c r="K1155" i="4" s="1"/>
  <c r="F60" i="4"/>
  <c r="I60" i="4" s="1"/>
  <c r="L60" i="4" s="1"/>
  <c r="K135" i="4" s="1"/>
  <c r="K172" i="4" s="1"/>
  <c r="D60" i="4"/>
  <c r="D554" i="4"/>
  <c r="F554" i="4"/>
  <c r="I554" i="4" s="1"/>
  <c r="L554" i="4" s="1"/>
  <c r="K629" i="4" s="1"/>
  <c r="K665" i="4" s="1"/>
  <c r="D1566" i="4"/>
  <c r="F1566" i="4"/>
  <c r="I1566" i="4" s="1"/>
  <c r="L1566" i="4" s="1"/>
  <c r="K1641" i="4" s="1"/>
  <c r="K1677" i="4" s="1"/>
  <c r="D338" i="4"/>
  <c r="F338" i="4"/>
  <c r="I338" i="4" s="1"/>
  <c r="L338" i="4" s="1"/>
  <c r="K415" i="4" s="1"/>
  <c r="K451" i="4" s="1"/>
  <c r="D1074" i="4"/>
  <c r="F1074" i="4"/>
  <c r="I1074" i="4" s="1"/>
  <c r="L1074" i="4" s="1"/>
  <c r="K1149" i="4" s="1"/>
  <c r="K1185" i="4" s="1"/>
  <c r="F584" i="4"/>
  <c r="I584" i="4" s="1"/>
  <c r="L584" i="4" s="1"/>
  <c r="K659" i="4" s="1"/>
  <c r="K695" i="4" s="1"/>
  <c r="D584" i="4"/>
  <c r="F1306" i="4"/>
  <c r="I1306" i="4" s="1"/>
  <c r="L1306" i="4" s="1"/>
  <c r="K1381" i="4" s="1"/>
  <c r="K1417" i="4" s="1"/>
  <c r="D1306" i="4"/>
  <c r="F1060" i="4"/>
  <c r="I1060" i="4" s="1"/>
  <c r="L1060" i="4" s="1"/>
  <c r="K1135" i="4" s="1"/>
  <c r="K1171" i="4" s="1"/>
  <c r="D1060" i="4"/>
  <c r="D76" i="4"/>
  <c r="F76" i="4"/>
  <c r="I76" i="4" s="1"/>
  <c r="L76" i="4" s="1"/>
  <c r="K151" i="4" s="1"/>
  <c r="K188" i="4" s="1"/>
  <c r="H1729" i="4"/>
  <c r="H1726" i="4"/>
  <c r="O179" i="5"/>
  <c r="G253" i="5" s="1"/>
  <c r="I253" i="5" s="1"/>
  <c r="G1542" i="4" l="1"/>
  <c r="J1542" i="4" s="1"/>
  <c r="M1542" i="4" s="1"/>
  <c r="L1617" i="4" s="1"/>
  <c r="M178" i="4"/>
  <c r="E332" i="5"/>
  <c r="L62" i="6" s="1"/>
  <c r="M62" i="6" s="1"/>
  <c r="M1161" i="4"/>
  <c r="G1296" i="4"/>
  <c r="J1296" i="4" s="1"/>
  <c r="M1296" i="4" s="1"/>
  <c r="L1371" i="4" s="1"/>
  <c r="B311" i="5"/>
  <c r="G314" i="4"/>
  <c r="J314" i="4" s="1"/>
  <c r="M314" i="4" s="1"/>
  <c r="L391" i="4" s="1"/>
  <c r="B340" i="5"/>
  <c r="M916" i="4"/>
  <c r="E324" i="5"/>
  <c r="L54" i="6" s="1"/>
  <c r="M54" i="6" s="1"/>
  <c r="L16" i="6"/>
  <c r="M16" i="6" s="1"/>
  <c r="L51" i="6"/>
  <c r="M51" i="6" s="1"/>
  <c r="B324" i="5"/>
  <c r="D54" i="6" s="1"/>
  <c r="F54" i="6" s="1"/>
  <c r="H54" i="6" s="1"/>
  <c r="B157" i="5"/>
  <c r="O33" i="5"/>
  <c r="G107" i="5" s="1"/>
  <c r="I107" i="5" s="1"/>
  <c r="E143" i="5" s="1"/>
  <c r="O39" i="5"/>
  <c r="G113" i="5" s="1"/>
  <c r="I113" i="5" s="1"/>
  <c r="B149" i="5" s="1"/>
  <c r="O28" i="5"/>
  <c r="G102" i="5" s="1"/>
  <c r="I102" i="5" s="1"/>
  <c r="B138" i="5" s="1"/>
  <c r="O193" i="5"/>
  <c r="G267" i="5" s="1"/>
  <c r="I267" i="5" s="1"/>
  <c r="B303" i="5" s="1"/>
  <c r="O202" i="5"/>
  <c r="G276" i="5" s="1"/>
  <c r="I276" i="5" s="1"/>
  <c r="B312" i="5" s="1"/>
  <c r="O31" i="5"/>
  <c r="G105" i="5" s="1"/>
  <c r="I105" i="5" s="1"/>
  <c r="E141" i="5" s="1"/>
  <c r="O34" i="5"/>
  <c r="G108" i="5" s="1"/>
  <c r="I108" i="5" s="1"/>
  <c r="B144" i="5" s="1"/>
  <c r="O29" i="5"/>
  <c r="G103" i="5" s="1"/>
  <c r="I103" i="5" s="1"/>
  <c r="E139" i="5" s="1"/>
  <c r="O199" i="5"/>
  <c r="G273" i="5" s="1"/>
  <c r="I273" i="5" s="1"/>
  <c r="E309" i="5" s="1"/>
  <c r="L70" i="6"/>
  <c r="M70" i="6" s="1"/>
  <c r="O30" i="5"/>
  <c r="G104" i="5" s="1"/>
  <c r="I104" i="5" s="1"/>
  <c r="E140" i="5" s="1"/>
  <c r="L24" i="6"/>
  <c r="M24" i="6" s="1"/>
  <c r="L109" i="6"/>
  <c r="M109" i="6" s="1"/>
  <c r="E347" i="5"/>
  <c r="X275" i="2"/>
  <c r="Q275" i="2"/>
  <c r="R275" i="2" s="1"/>
  <c r="S347" i="2"/>
  <c r="P347" i="2" s="1"/>
  <c r="S277" i="2"/>
  <c r="P276" i="2"/>
  <c r="U345" i="2"/>
  <c r="K93" i="2" s="1"/>
  <c r="V345" i="2"/>
  <c r="T274" i="2"/>
  <c r="W274" i="2" s="1"/>
  <c r="M18" i="2"/>
  <c r="E1017" i="4"/>
  <c r="H1017" i="4" s="1"/>
  <c r="K1017" i="4" s="1"/>
  <c r="N1017" i="4" s="1"/>
  <c r="E1130" i="4" s="1"/>
  <c r="G1017" i="4"/>
  <c r="J1017" i="4" s="1"/>
  <c r="M1017" i="4" s="1"/>
  <c r="D1130" i="4" s="1"/>
  <c r="F1018" i="4"/>
  <c r="I1018" i="4" s="1"/>
  <c r="L1018" i="4" s="1"/>
  <c r="C1131" i="4" s="1"/>
  <c r="J1167" i="4" s="1"/>
  <c r="M1167" i="4" s="1"/>
  <c r="D1018" i="4"/>
  <c r="O22" i="5"/>
  <c r="G96" i="5" s="1"/>
  <c r="I96" i="5" s="1"/>
  <c r="E132" i="5" s="1"/>
  <c r="O23" i="5"/>
  <c r="G97" i="5" s="1"/>
  <c r="I97" i="5" s="1"/>
  <c r="B133" i="5" s="1"/>
  <c r="O185" i="5"/>
  <c r="G259" i="5" s="1"/>
  <c r="I259" i="5" s="1"/>
  <c r="E295" i="5" s="1"/>
  <c r="O192" i="5"/>
  <c r="G266" i="5" s="1"/>
  <c r="I266" i="5" s="1"/>
  <c r="B302" i="5" s="1"/>
  <c r="L17" i="2"/>
  <c r="H52" i="1" s="1"/>
  <c r="B1019" i="4" s="1"/>
  <c r="C1019" i="4" s="1"/>
  <c r="G52" i="1"/>
  <c r="X346" i="2"/>
  <c r="Q346" i="2"/>
  <c r="R346" i="2" s="1"/>
  <c r="T345" i="2"/>
  <c r="W345" i="2" s="1"/>
  <c r="M93" i="2"/>
  <c r="V274" i="2"/>
  <c r="U274" i="2"/>
  <c r="K18" i="2" s="1"/>
  <c r="G122" i="1"/>
  <c r="L92" i="2"/>
  <c r="H122" i="1" s="1"/>
  <c r="L117" i="6"/>
  <c r="M117" i="6" s="1"/>
  <c r="O188" i="5"/>
  <c r="G262" i="5" s="1"/>
  <c r="I262" i="5" s="1"/>
  <c r="B298" i="5" s="1"/>
  <c r="O26" i="5"/>
  <c r="G100" i="5" s="1"/>
  <c r="I100" i="5" s="1"/>
  <c r="B136" i="5" s="1"/>
  <c r="O181" i="5"/>
  <c r="G255" i="5" s="1"/>
  <c r="I255" i="5" s="1"/>
  <c r="E291" i="5" s="1"/>
  <c r="O196" i="5"/>
  <c r="G270" i="5" s="1"/>
  <c r="I270" i="5" s="1"/>
  <c r="B306" i="5" s="1"/>
  <c r="O35" i="5"/>
  <c r="G109" i="5" s="1"/>
  <c r="I109" i="5" s="1"/>
  <c r="E145" i="5" s="1"/>
  <c r="O36" i="5"/>
  <c r="G110" i="5" s="1"/>
  <c r="I110" i="5" s="1"/>
  <c r="E146" i="5" s="1"/>
  <c r="O37" i="5"/>
  <c r="G111" i="5" s="1"/>
  <c r="I111" i="5" s="1"/>
  <c r="E147" i="5" s="1"/>
  <c r="O27" i="5"/>
  <c r="G101" i="5" s="1"/>
  <c r="I101" i="5" s="1"/>
  <c r="B137" i="5" s="1"/>
  <c r="O42" i="5"/>
  <c r="G116" i="5" s="1"/>
  <c r="I116" i="5" s="1"/>
  <c r="E152" i="5" s="1"/>
  <c r="O204" i="5"/>
  <c r="G278" i="5" s="1"/>
  <c r="I278" i="5" s="1"/>
  <c r="E314" i="5" s="1"/>
  <c r="E289" i="5"/>
  <c r="B289" i="5"/>
  <c r="L5" i="6"/>
  <c r="M5" i="6" s="1"/>
  <c r="L98" i="6"/>
  <c r="M98" i="6" s="1"/>
  <c r="L8" i="6"/>
  <c r="M8" i="6" s="1"/>
  <c r="K1225" i="4"/>
  <c r="L1225" i="4" s="1"/>
  <c r="K1717" i="4"/>
  <c r="L1717" i="4" s="1"/>
  <c r="M1677" i="4"/>
  <c r="K1195" i="4"/>
  <c r="L1195" i="4" s="1"/>
  <c r="M1155" i="4"/>
  <c r="E325" i="4"/>
  <c r="H325" i="4" s="1"/>
  <c r="K325" i="4" s="1"/>
  <c r="N325" i="4" s="1"/>
  <c r="M402" i="4" s="1"/>
  <c r="G325" i="4"/>
  <c r="J325" i="4" s="1"/>
  <c r="M325" i="4" s="1"/>
  <c r="L402" i="4" s="1"/>
  <c r="K722" i="4"/>
  <c r="L722" i="4" s="1"/>
  <c r="M682" i="4"/>
  <c r="G76" i="4"/>
  <c r="J76" i="4" s="1"/>
  <c r="M76" i="4" s="1"/>
  <c r="L151" i="4" s="1"/>
  <c r="E76" i="4"/>
  <c r="H76" i="4" s="1"/>
  <c r="K76" i="4" s="1"/>
  <c r="N76" i="4" s="1"/>
  <c r="M151" i="4" s="1"/>
  <c r="K1211" i="4"/>
  <c r="L1211" i="4" s="1"/>
  <c r="K1457" i="4"/>
  <c r="L1457" i="4" s="1"/>
  <c r="M1417" i="4"/>
  <c r="K735" i="4"/>
  <c r="L735" i="4" s="1"/>
  <c r="M695" i="4"/>
  <c r="G1074" i="4"/>
  <c r="J1074" i="4" s="1"/>
  <c r="M1074" i="4" s="1"/>
  <c r="L1149" i="4" s="1"/>
  <c r="E1074" i="4"/>
  <c r="H1074" i="4" s="1"/>
  <c r="K1074" i="4" s="1"/>
  <c r="N1074" i="4" s="1"/>
  <c r="M1149" i="4" s="1"/>
  <c r="G338" i="4"/>
  <c r="J338" i="4" s="1"/>
  <c r="M338" i="4" s="1"/>
  <c r="L415" i="4" s="1"/>
  <c r="E338" i="4"/>
  <c r="H338" i="4" s="1"/>
  <c r="K338" i="4" s="1"/>
  <c r="N338" i="4" s="1"/>
  <c r="M415" i="4" s="1"/>
  <c r="G1566" i="4"/>
  <c r="J1566" i="4" s="1"/>
  <c r="M1566" i="4" s="1"/>
  <c r="L1641" i="4" s="1"/>
  <c r="E1566" i="4"/>
  <c r="H1566" i="4" s="1"/>
  <c r="K1566" i="4" s="1"/>
  <c r="N1566" i="4" s="1"/>
  <c r="M1641" i="4" s="1"/>
  <c r="G554" i="4"/>
  <c r="J554" i="4" s="1"/>
  <c r="M554" i="4" s="1"/>
  <c r="L629" i="4" s="1"/>
  <c r="E554" i="4"/>
  <c r="H554" i="4" s="1"/>
  <c r="K554" i="4" s="1"/>
  <c r="N554" i="4" s="1"/>
  <c r="M629" i="4" s="1"/>
  <c r="K210" i="4"/>
  <c r="L210" i="4" s="1"/>
  <c r="M172" i="4"/>
  <c r="E1044" i="4"/>
  <c r="H1044" i="4" s="1"/>
  <c r="K1044" i="4" s="1"/>
  <c r="N1044" i="4" s="1"/>
  <c r="M1119" i="4" s="1"/>
  <c r="G1044" i="4"/>
  <c r="J1044" i="4" s="1"/>
  <c r="M1044" i="4" s="1"/>
  <c r="L1119" i="4" s="1"/>
  <c r="K478" i="4"/>
  <c r="L478" i="4" s="1"/>
  <c r="M438" i="4"/>
  <c r="G816" i="4"/>
  <c r="J816" i="4" s="1"/>
  <c r="M816" i="4" s="1"/>
  <c r="L891" i="4" s="1"/>
  <c r="E816" i="4"/>
  <c r="H816" i="4" s="1"/>
  <c r="K816" i="4" s="1"/>
  <c r="N816" i="4" s="1"/>
  <c r="M891" i="4" s="1"/>
  <c r="G571" i="4"/>
  <c r="J571" i="4" s="1"/>
  <c r="M571" i="4" s="1"/>
  <c r="L646" i="4" s="1"/>
  <c r="E571" i="4"/>
  <c r="H571" i="4" s="1"/>
  <c r="K571" i="4" s="1"/>
  <c r="N571" i="4" s="1"/>
  <c r="M646" i="4" s="1"/>
  <c r="G77" i="4"/>
  <c r="J77" i="4" s="1"/>
  <c r="M77" i="4" s="1"/>
  <c r="L152" i="4" s="1"/>
  <c r="E77" i="4"/>
  <c r="H77" i="4" s="1"/>
  <c r="K77" i="4" s="1"/>
  <c r="N77" i="4" s="1"/>
  <c r="M152" i="4" s="1"/>
  <c r="E1308" i="4"/>
  <c r="H1308" i="4" s="1"/>
  <c r="K1308" i="4" s="1"/>
  <c r="N1308" i="4" s="1"/>
  <c r="M1383" i="4" s="1"/>
  <c r="G1308" i="4"/>
  <c r="J1308" i="4" s="1"/>
  <c r="M1308" i="4" s="1"/>
  <c r="L1383" i="4" s="1"/>
  <c r="M1665" i="4"/>
  <c r="K1705" i="4"/>
  <c r="L1705" i="4" s="1"/>
  <c r="K723" i="4"/>
  <c r="L723" i="4" s="1"/>
  <c r="M683" i="4"/>
  <c r="K217" i="4"/>
  <c r="L217" i="4" s="1"/>
  <c r="M179" i="4"/>
  <c r="K712" i="4"/>
  <c r="L712" i="4" s="1"/>
  <c r="M672" i="4"/>
  <c r="K1448" i="4"/>
  <c r="L1448" i="4" s="1"/>
  <c r="M1408" i="4"/>
  <c r="K468" i="4"/>
  <c r="L468" i="4" s="1"/>
  <c r="M428" i="4"/>
  <c r="K1468" i="4"/>
  <c r="L1468" i="4" s="1"/>
  <c r="M1428" i="4"/>
  <c r="K977" i="4"/>
  <c r="L977" i="4" s="1"/>
  <c r="M937" i="4"/>
  <c r="G1071" i="4"/>
  <c r="J1071" i="4" s="1"/>
  <c r="M1071" i="4" s="1"/>
  <c r="L1146" i="4" s="1"/>
  <c r="E1071" i="4"/>
  <c r="H1071" i="4" s="1"/>
  <c r="K1071" i="4" s="1"/>
  <c r="N1071" i="4" s="1"/>
  <c r="M1146" i="4" s="1"/>
  <c r="G316" i="4"/>
  <c r="J316" i="4" s="1"/>
  <c r="M316" i="4" s="1"/>
  <c r="L393" i="4" s="1"/>
  <c r="E316" i="4"/>
  <c r="H316" i="4" s="1"/>
  <c r="K316" i="4" s="1"/>
  <c r="N316" i="4" s="1"/>
  <c r="M393" i="4" s="1"/>
  <c r="G807" i="4"/>
  <c r="J807" i="4" s="1"/>
  <c r="M807" i="4" s="1"/>
  <c r="L882" i="4" s="1"/>
  <c r="E807" i="4"/>
  <c r="H807" i="4" s="1"/>
  <c r="K807" i="4" s="1"/>
  <c r="N807" i="4" s="1"/>
  <c r="M882" i="4" s="1"/>
  <c r="K1203" i="4"/>
  <c r="L1203" i="4" s="1"/>
  <c r="M1163" i="4"/>
  <c r="G68" i="4"/>
  <c r="J68" i="4" s="1"/>
  <c r="M68" i="4" s="1"/>
  <c r="L143" i="4" s="1"/>
  <c r="E68" i="4"/>
  <c r="H68" i="4" s="1"/>
  <c r="K68" i="4" s="1"/>
  <c r="N68" i="4" s="1"/>
  <c r="M143" i="4" s="1"/>
  <c r="K211" i="4"/>
  <c r="L211" i="4" s="1"/>
  <c r="M173" i="4"/>
  <c r="K1442" i="4"/>
  <c r="L1442" i="4" s="1"/>
  <c r="M1402" i="4"/>
  <c r="K1196" i="4"/>
  <c r="L1196" i="4" s="1"/>
  <c r="M1156" i="4"/>
  <c r="E85" i="4"/>
  <c r="H85" i="4" s="1"/>
  <c r="K85" i="4" s="1"/>
  <c r="N85" i="4" s="1"/>
  <c r="M160" i="4" s="1"/>
  <c r="G85" i="4"/>
  <c r="J85" i="4" s="1"/>
  <c r="M85" i="4" s="1"/>
  <c r="L160" i="4" s="1"/>
  <c r="K1712" i="4"/>
  <c r="L1712" i="4" s="1"/>
  <c r="M1672" i="4"/>
  <c r="K975" i="4"/>
  <c r="L975" i="4" s="1"/>
  <c r="M935" i="4"/>
  <c r="E1069" i="4"/>
  <c r="H1069" i="4" s="1"/>
  <c r="K1069" i="4" s="1"/>
  <c r="N1069" i="4" s="1"/>
  <c r="M1144" i="4" s="1"/>
  <c r="G1069" i="4"/>
  <c r="J1069" i="4" s="1"/>
  <c r="M1069" i="4" s="1"/>
  <c r="L1144" i="4" s="1"/>
  <c r="G823" i="4"/>
  <c r="J823" i="4" s="1"/>
  <c r="M823" i="4" s="1"/>
  <c r="L898" i="4" s="1"/>
  <c r="E823" i="4"/>
  <c r="H823" i="4" s="1"/>
  <c r="K823" i="4" s="1"/>
  <c r="N823" i="4" s="1"/>
  <c r="M898" i="4" s="1"/>
  <c r="K1711" i="4"/>
  <c r="L1711" i="4" s="1"/>
  <c r="M1671" i="4"/>
  <c r="E84" i="4"/>
  <c r="H84" i="4" s="1"/>
  <c r="K84" i="4" s="1"/>
  <c r="N84" i="4" s="1"/>
  <c r="M159" i="4" s="1"/>
  <c r="G84" i="4"/>
  <c r="J84" i="4" s="1"/>
  <c r="M84" i="4" s="1"/>
  <c r="L159" i="4" s="1"/>
  <c r="K1218" i="4"/>
  <c r="L1218" i="4" s="1"/>
  <c r="E577" i="4"/>
  <c r="H577" i="4" s="1"/>
  <c r="K577" i="4" s="1"/>
  <c r="N577" i="4" s="1"/>
  <c r="M652" i="4" s="1"/>
  <c r="G577" i="4"/>
  <c r="J577" i="4" s="1"/>
  <c r="M577" i="4" s="1"/>
  <c r="L652" i="4" s="1"/>
  <c r="K973" i="4"/>
  <c r="L973" i="4" s="1"/>
  <c r="M933" i="4"/>
  <c r="K1464" i="4"/>
  <c r="L1464" i="4" s="1"/>
  <c r="M1424" i="4"/>
  <c r="K1226" i="4"/>
  <c r="L1226" i="4" s="1"/>
  <c r="K241" i="4"/>
  <c r="L241" i="4" s="1"/>
  <c r="M203" i="4"/>
  <c r="E1321" i="4"/>
  <c r="H1321" i="4" s="1"/>
  <c r="K1321" i="4" s="1"/>
  <c r="N1321" i="4" s="1"/>
  <c r="M1396" i="4" s="1"/>
  <c r="G1321" i="4"/>
  <c r="J1321" i="4" s="1"/>
  <c r="M1321" i="4" s="1"/>
  <c r="L1396" i="4" s="1"/>
  <c r="E1547" i="4"/>
  <c r="H1547" i="4" s="1"/>
  <c r="K1547" i="4" s="1"/>
  <c r="N1547" i="4" s="1"/>
  <c r="M1622" i="4" s="1"/>
  <c r="G1547" i="4"/>
  <c r="J1547" i="4" s="1"/>
  <c r="M1547" i="4" s="1"/>
  <c r="L1622" i="4" s="1"/>
  <c r="E810" i="4"/>
  <c r="H810" i="4" s="1"/>
  <c r="K810" i="4" s="1"/>
  <c r="N810" i="4" s="1"/>
  <c r="M885" i="4" s="1"/>
  <c r="G810" i="4"/>
  <c r="J810" i="4" s="1"/>
  <c r="M810" i="4" s="1"/>
  <c r="L885" i="4" s="1"/>
  <c r="E71" i="4"/>
  <c r="H71" i="4" s="1"/>
  <c r="K71" i="4" s="1"/>
  <c r="N71" i="4" s="1"/>
  <c r="M146" i="4" s="1"/>
  <c r="G71" i="4"/>
  <c r="J71" i="4" s="1"/>
  <c r="M71" i="4" s="1"/>
  <c r="L146" i="4" s="1"/>
  <c r="K716" i="4"/>
  <c r="L716" i="4" s="1"/>
  <c r="M676" i="4"/>
  <c r="K213" i="4"/>
  <c r="L213" i="4" s="1"/>
  <c r="M175" i="4"/>
  <c r="K708" i="4"/>
  <c r="L708" i="4" s="1"/>
  <c r="M668" i="4"/>
  <c r="K464" i="4"/>
  <c r="L464" i="4" s="1"/>
  <c r="M424" i="4"/>
  <c r="E583" i="4"/>
  <c r="H583" i="4" s="1"/>
  <c r="K583" i="4" s="1"/>
  <c r="N583" i="4" s="1"/>
  <c r="M658" i="4" s="1"/>
  <c r="G583" i="4"/>
  <c r="J583" i="4" s="1"/>
  <c r="M583" i="4" s="1"/>
  <c r="L658" i="4" s="1"/>
  <c r="K979" i="4"/>
  <c r="L979" i="4" s="1"/>
  <c r="M939" i="4"/>
  <c r="E1319" i="4"/>
  <c r="H1319" i="4" s="1"/>
  <c r="K1319" i="4" s="1"/>
  <c r="N1319" i="4" s="1"/>
  <c r="M1394" i="4" s="1"/>
  <c r="G1319" i="4"/>
  <c r="J1319" i="4" s="1"/>
  <c r="M1319" i="4" s="1"/>
  <c r="L1394" i="4" s="1"/>
  <c r="E1073" i="4"/>
  <c r="H1073" i="4" s="1"/>
  <c r="K1073" i="4" s="1"/>
  <c r="N1073" i="4" s="1"/>
  <c r="M1148" i="4" s="1"/>
  <c r="G1073" i="4"/>
  <c r="J1073" i="4" s="1"/>
  <c r="M1073" i="4" s="1"/>
  <c r="L1148" i="4" s="1"/>
  <c r="E803" i="4"/>
  <c r="H803" i="4" s="1"/>
  <c r="K803" i="4" s="1"/>
  <c r="N803" i="4" s="1"/>
  <c r="M878" i="4" s="1"/>
  <c r="G803" i="4"/>
  <c r="J803" i="4" s="1"/>
  <c r="M803" i="4" s="1"/>
  <c r="L878" i="4" s="1"/>
  <c r="E1294" i="4"/>
  <c r="H1294" i="4" s="1"/>
  <c r="K1294" i="4" s="1"/>
  <c r="N1294" i="4" s="1"/>
  <c r="M1369" i="4" s="1"/>
  <c r="G1294" i="4"/>
  <c r="J1294" i="4" s="1"/>
  <c r="M1294" i="4" s="1"/>
  <c r="L1369" i="4" s="1"/>
  <c r="K214" i="4"/>
  <c r="L214" i="4" s="1"/>
  <c r="M176" i="4"/>
  <c r="K1699" i="4"/>
  <c r="L1699" i="4" s="1"/>
  <c r="M1659" i="4"/>
  <c r="G320" i="4"/>
  <c r="J320" i="4" s="1"/>
  <c r="M320" i="4" s="1"/>
  <c r="L397" i="4" s="1"/>
  <c r="E320" i="4"/>
  <c r="H320" i="4" s="1"/>
  <c r="K320" i="4" s="1"/>
  <c r="N320" i="4" s="1"/>
  <c r="M397" i="4" s="1"/>
  <c r="K717" i="4"/>
  <c r="L717" i="4" s="1"/>
  <c r="M677" i="4"/>
  <c r="E811" i="4"/>
  <c r="H811" i="4" s="1"/>
  <c r="K811" i="4" s="1"/>
  <c r="N811" i="4" s="1"/>
  <c r="M886" i="4" s="1"/>
  <c r="G811" i="4"/>
  <c r="J811" i="4" s="1"/>
  <c r="M811" i="4" s="1"/>
  <c r="L886" i="4" s="1"/>
  <c r="G74" i="4"/>
  <c r="J74" i="4" s="1"/>
  <c r="M74" i="4" s="1"/>
  <c r="L149" i="4" s="1"/>
  <c r="E74" i="4"/>
  <c r="H74" i="4" s="1"/>
  <c r="K74" i="4" s="1"/>
  <c r="N74" i="4" s="1"/>
  <c r="M149" i="4" s="1"/>
  <c r="K964" i="4"/>
  <c r="L964" i="4" s="1"/>
  <c r="M924" i="4"/>
  <c r="K1209" i="4"/>
  <c r="L1209" i="4" s="1"/>
  <c r="E573" i="4"/>
  <c r="H573" i="4" s="1"/>
  <c r="K573" i="4" s="1"/>
  <c r="N573" i="4" s="1"/>
  <c r="M648" i="4" s="1"/>
  <c r="G573" i="4"/>
  <c r="J573" i="4" s="1"/>
  <c r="M573" i="4" s="1"/>
  <c r="L648" i="4" s="1"/>
  <c r="K1460" i="4"/>
  <c r="L1460" i="4" s="1"/>
  <c r="M1420" i="4"/>
  <c r="G79" i="4"/>
  <c r="J79" i="4" s="1"/>
  <c r="M79" i="4" s="1"/>
  <c r="L154" i="4" s="1"/>
  <c r="E79" i="4"/>
  <c r="H79" i="4" s="1"/>
  <c r="K79" i="4" s="1"/>
  <c r="N79" i="4" s="1"/>
  <c r="M154" i="4" s="1"/>
  <c r="E1063" i="4"/>
  <c r="H1063" i="4" s="1"/>
  <c r="K1063" i="4" s="1"/>
  <c r="N1063" i="4" s="1"/>
  <c r="M1138" i="4" s="1"/>
  <c r="G1063" i="4"/>
  <c r="J1063" i="4" s="1"/>
  <c r="M1063" i="4" s="1"/>
  <c r="L1138" i="4" s="1"/>
  <c r="G328" i="4"/>
  <c r="J328" i="4" s="1"/>
  <c r="M328" i="4" s="1"/>
  <c r="L405" i="4" s="1"/>
  <c r="E328" i="4"/>
  <c r="H328" i="4" s="1"/>
  <c r="K328" i="4" s="1"/>
  <c r="N328" i="4" s="1"/>
  <c r="M405" i="4" s="1"/>
  <c r="K1215" i="4"/>
  <c r="L1215" i="4" s="1"/>
  <c r="E1310" i="4"/>
  <c r="H1310" i="4" s="1"/>
  <c r="K1310" i="4" s="1"/>
  <c r="N1310" i="4" s="1"/>
  <c r="M1385" i="4" s="1"/>
  <c r="G1310" i="4"/>
  <c r="J1310" i="4" s="1"/>
  <c r="M1310" i="4" s="1"/>
  <c r="L1385" i="4" s="1"/>
  <c r="K1702" i="4"/>
  <c r="L1702" i="4" s="1"/>
  <c r="M1662" i="4"/>
  <c r="E814" i="4"/>
  <c r="H814" i="4" s="1"/>
  <c r="K814" i="4" s="1"/>
  <c r="N814" i="4" s="1"/>
  <c r="M889" i="4" s="1"/>
  <c r="G814" i="4"/>
  <c r="J814" i="4" s="1"/>
  <c r="M814" i="4" s="1"/>
  <c r="L889" i="4" s="1"/>
  <c r="G323" i="4"/>
  <c r="J323" i="4" s="1"/>
  <c r="M323" i="4" s="1"/>
  <c r="L400" i="4" s="1"/>
  <c r="E323" i="4"/>
  <c r="H323" i="4" s="1"/>
  <c r="K323" i="4" s="1"/>
  <c r="N323" i="4" s="1"/>
  <c r="M400" i="4" s="1"/>
  <c r="E569" i="4"/>
  <c r="H569" i="4" s="1"/>
  <c r="K569" i="4" s="1"/>
  <c r="N569" i="4" s="1"/>
  <c r="M644" i="4" s="1"/>
  <c r="G569" i="4"/>
  <c r="J569" i="4" s="1"/>
  <c r="M569" i="4" s="1"/>
  <c r="L644" i="4" s="1"/>
  <c r="K731" i="4"/>
  <c r="L731" i="4" s="1"/>
  <c r="M691" i="4"/>
  <c r="G86" i="4"/>
  <c r="J86" i="4" s="1"/>
  <c r="M86" i="4" s="1"/>
  <c r="L161" i="4" s="1"/>
  <c r="E86" i="4"/>
  <c r="H86" i="4" s="1"/>
  <c r="K86" i="4" s="1"/>
  <c r="N86" i="4" s="1"/>
  <c r="M161" i="4" s="1"/>
  <c r="E1562" i="4"/>
  <c r="H1562" i="4" s="1"/>
  <c r="K1562" i="4" s="1"/>
  <c r="N1562" i="4" s="1"/>
  <c r="M1637" i="4" s="1"/>
  <c r="G1562" i="4"/>
  <c r="J1562" i="4" s="1"/>
  <c r="M1562" i="4" s="1"/>
  <c r="L1637" i="4" s="1"/>
  <c r="G318" i="4"/>
  <c r="J318" i="4" s="1"/>
  <c r="M318" i="4" s="1"/>
  <c r="L395" i="4" s="1"/>
  <c r="E318" i="4"/>
  <c r="H318" i="4" s="1"/>
  <c r="K318" i="4" s="1"/>
  <c r="N318" i="4" s="1"/>
  <c r="M395" i="4" s="1"/>
  <c r="K1205" i="4"/>
  <c r="L1205" i="4" s="1"/>
  <c r="M1165" i="4"/>
  <c r="K1697" i="4"/>
  <c r="L1697" i="4" s="1"/>
  <c r="M1657" i="4"/>
  <c r="K1451" i="4"/>
  <c r="L1451" i="4" s="1"/>
  <c r="M1411" i="4"/>
  <c r="E563" i="4"/>
  <c r="H563" i="4" s="1"/>
  <c r="K563" i="4" s="1"/>
  <c r="N563" i="4" s="1"/>
  <c r="M638" i="4" s="1"/>
  <c r="G563" i="4"/>
  <c r="J563" i="4" s="1"/>
  <c r="M563" i="4" s="1"/>
  <c r="L638" i="4" s="1"/>
  <c r="E808" i="4"/>
  <c r="H808" i="4" s="1"/>
  <c r="K808" i="4" s="1"/>
  <c r="N808" i="4" s="1"/>
  <c r="M883" i="4" s="1"/>
  <c r="G808" i="4"/>
  <c r="J808" i="4" s="1"/>
  <c r="M808" i="4" s="1"/>
  <c r="L883" i="4" s="1"/>
  <c r="E69" i="4"/>
  <c r="H69" i="4" s="1"/>
  <c r="K69" i="4" s="1"/>
  <c r="N69" i="4" s="1"/>
  <c r="M144" i="4" s="1"/>
  <c r="G69" i="4"/>
  <c r="J69" i="4" s="1"/>
  <c r="M69" i="4" s="1"/>
  <c r="L144" i="4" s="1"/>
  <c r="K1709" i="4"/>
  <c r="L1709" i="4" s="1"/>
  <c r="M1669" i="4"/>
  <c r="K972" i="4"/>
  <c r="L972" i="4" s="1"/>
  <c r="M932" i="4"/>
  <c r="E576" i="4"/>
  <c r="H576" i="4" s="1"/>
  <c r="K576" i="4" s="1"/>
  <c r="N576" i="4" s="1"/>
  <c r="M651" i="4" s="1"/>
  <c r="G576" i="4"/>
  <c r="J576" i="4" s="1"/>
  <c r="M576" i="4" s="1"/>
  <c r="L651" i="4" s="1"/>
  <c r="M194" i="4"/>
  <c r="K232" i="4"/>
  <c r="L232" i="4" s="1"/>
  <c r="D96" i="6"/>
  <c r="D51" i="6"/>
  <c r="D5" i="6"/>
  <c r="E135" i="5"/>
  <c r="B135" i="5"/>
  <c r="E1552" i="4"/>
  <c r="H1552" i="4" s="1"/>
  <c r="K1552" i="4" s="1"/>
  <c r="N1552" i="4" s="1"/>
  <c r="M1627" i="4" s="1"/>
  <c r="G1552" i="4"/>
  <c r="J1552" i="4" s="1"/>
  <c r="M1552" i="4" s="1"/>
  <c r="L1627" i="4" s="1"/>
  <c r="K966" i="4"/>
  <c r="L966" i="4" s="1"/>
  <c r="M926" i="4"/>
  <c r="E324" i="4"/>
  <c r="H324" i="4" s="1"/>
  <c r="K324" i="4" s="1"/>
  <c r="N324" i="4" s="1"/>
  <c r="M401" i="4" s="1"/>
  <c r="G324" i="4"/>
  <c r="J324" i="4" s="1"/>
  <c r="M324" i="4" s="1"/>
  <c r="L401" i="4" s="1"/>
  <c r="G570" i="4"/>
  <c r="J570" i="4" s="1"/>
  <c r="M570" i="4" s="1"/>
  <c r="L645" i="4" s="1"/>
  <c r="E570" i="4"/>
  <c r="H570" i="4" s="1"/>
  <c r="K570" i="4" s="1"/>
  <c r="N570" i="4" s="1"/>
  <c r="M645" i="4" s="1"/>
  <c r="K1471" i="4"/>
  <c r="L1471" i="4" s="1"/>
  <c r="M1431" i="4"/>
  <c r="K240" i="4"/>
  <c r="L240" i="4" s="1"/>
  <c r="M202" i="4"/>
  <c r="K980" i="4"/>
  <c r="L980" i="4" s="1"/>
  <c r="M940" i="4"/>
  <c r="G308" i="4"/>
  <c r="J308" i="4" s="1"/>
  <c r="M308" i="4" s="1"/>
  <c r="L385" i="4" s="1"/>
  <c r="E308" i="4"/>
  <c r="H308" i="4" s="1"/>
  <c r="K308" i="4" s="1"/>
  <c r="N308" i="4" s="1"/>
  <c r="M385" i="4" s="1"/>
  <c r="K1441" i="4"/>
  <c r="L1441" i="4" s="1"/>
  <c r="M1401" i="4"/>
  <c r="E799" i="4"/>
  <c r="H799" i="4" s="1"/>
  <c r="K799" i="4" s="1"/>
  <c r="N799" i="4" s="1"/>
  <c r="M874" i="4" s="1"/>
  <c r="G799" i="4"/>
  <c r="J799" i="4" s="1"/>
  <c r="M799" i="4" s="1"/>
  <c r="L874" i="4" s="1"/>
  <c r="K1687" i="4"/>
  <c r="L1687" i="4" s="1"/>
  <c r="M1647" i="4"/>
  <c r="K1212" i="4"/>
  <c r="L1212" i="4" s="1"/>
  <c r="E1553" i="4"/>
  <c r="H1553" i="4" s="1"/>
  <c r="K1553" i="4" s="1"/>
  <c r="N1553" i="4" s="1"/>
  <c r="M1628" i="4" s="1"/>
  <c r="G1553" i="4"/>
  <c r="J1553" i="4" s="1"/>
  <c r="M1553" i="4" s="1"/>
  <c r="L1628" i="4" s="1"/>
  <c r="E1307" i="4"/>
  <c r="H1307" i="4" s="1"/>
  <c r="K1307" i="4" s="1"/>
  <c r="N1307" i="4" s="1"/>
  <c r="M1382" i="4" s="1"/>
  <c r="G1307" i="4"/>
  <c r="J1307" i="4" s="1"/>
  <c r="M1307" i="4" s="1"/>
  <c r="L1382" i="4" s="1"/>
  <c r="K228" i="4"/>
  <c r="L228" i="4" s="1"/>
  <c r="M190" i="4"/>
  <c r="E817" i="4"/>
  <c r="H817" i="4" s="1"/>
  <c r="K817" i="4" s="1"/>
  <c r="N817" i="4" s="1"/>
  <c r="M892" i="4" s="1"/>
  <c r="G817" i="4"/>
  <c r="J817" i="4" s="1"/>
  <c r="M817" i="4" s="1"/>
  <c r="L892" i="4" s="1"/>
  <c r="K479" i="4"/>
  <c r="L479" i="4" s="1"/>
  <c r="M439" i="4"/>
  <c r="G1062" i="4"/>
  <c r="J1062" i="4" s="1"/>
  <c r="M1062" i="4" s="1"/>
  <c r="L1137" i="4" s="1"/>
  <c r="E1062" i="4"/>
  <c r="H1062" i="4" s="1"/>
  <c r="K1062" i="4" s="1"/>
  <c r="N1062" i="4" s="1"/>
  <c r="M1137" i="4" s="1"/>
  <c r="K957" i="4"/>
  <c r="L957" i="4" s="1"/>
  <c r="M917" i="4"/>
  <c r="E1543" i="4"/>
  <c r="H1543" i="4" s="1"/>
  <c r="K1543" i="4" s="1"/>
  <c r="N1543" i="4" s="1"/>
  <c r="M1618" i="4" s="1"/>
  <c r="G1543" i="4"/>
  <c r="J1543" i="4" s="1"/>
  <c r="M1543" i="4" s="1"/>
  <c r="L1618" i="4" s="1"/>
  <c r="K1202" i="4"/>
  <c r="L1202" i="4" s="1"/>
  <c r="M1162" i="4"/>
  <c r="G335" i="4"/>
  <c r="J335" i="4" s="1"/>
  <c r="M335" i="4" s="1"/>
  <c r="L412" i="4" s="1"/>
  <c r="E335" i="4"/>
  <c r="H335" i="4" s="1"/>
  <c r="K335" i="4" s="1"/>
  <c r="N335" i="4" s="1"/>
  <c r="M412" i="4" s="1"/>
  <c r="K1714" i="4"/>
  <c r="L1714" i="4" s="1"/>
  <c r="M1674" i="4"/>
  <c r="E581" i="4"/>
  <c r="H581" i="4" s="1"/>
  <c r="K581" i="4" s="1"/>
  <c r="N581" i="4" s="1"/>
  <c r="M656" i="4" s="1"/>
  <c r="G581" i="4"/>
  <c r="J581" i="4" s="1"/>
  <c r="M581" i="4" s="1"/>
  <c r="L656" i="4" s="1"/>
  <c r="E87" i="4"/>
  <c r="H87" i="4" s="1"/>
  <c r="K87" i="4" s="1"/>
  <c r="N87" i="4" s="1"/>
  <c r="M162" i="4" s="1"/>
  <c r="G87" i="4"/>
  <c r="J87" i="4" s="1"/>
  <c r="M87" i="4" s="1"/>
  <c r="L162" i="4" s="1"/>
  <c r="E1544" i="4"/>
  <c r="H1544" i="4" s="1"/>
  <c r="K1544" i="4" s="1"/>
  <c r="N1544" i="4" s="1"/>
  <c r="M1619" i="4" s="1"/>
  <c r="G1544" i="4"/>
  <c r="J1544" i="4" s="1"/>
  <c r="M1544" i="4" s="1"/>
  <c r="L1619" i="4" s="1"/>
  <c r="E1298" i="4"/>
  <c r="H1298" i="4" s="1"/>
  <c r="K1298" i="4" s="1"/>
  <c r="N1298" i="4" s="1"/>
  <c r="M1373" i="4" s="1"/>
  <c r="G1298" i="4"/>
  <c r="J1298" i="4" s="1"/>
  <c r="M1298" i="4" s="1"/>
  <c r="L1373" i="4" s="1"/>
  <c r="K713" i="4"/>
  <c r="L713" i="4" s="1"/>
  <c r="M673" i="4"/>
  <c r="G309" i="4"/>
  <c r="J309" i="4" s="1"/>
  <c r="M309" i="4" s="1"/>
  <c r="L386" i="4" s="1"/>
  <c r="E309" i="4"/>
  <c r="H309" i="4" s="1"/>
  <c r="K309" i="4" s="1"/>
  <c r="N309" i="4" s="1"/>
  <c r="M386" i="4" s="1"/>
  <c r="E555" i="4"/>
  <c r="H555" i="4" s="1"/>
  <c r="K555" i="4" s="1"/>
  <c r="N555" i="4" s="1"/>
  <c r="M630" i="4" s="1"/>
  <c r="G555" i="4"/>
  <c r="J555" i="4" s="1"/>
  <c r="M555" i="4" s="1"/>
  <c r="L630" i="4" s="1"/>
  <c r="K951" i="4"/>
  <c r="L951" i="4" s="1"/>
  <c r="M911" i="4"/>
  <c r="E1537" i="4"/>
  <c r="H1537" i="4" s="1"/>
  <c r="K1537" i="4" s="1"/>
  <c r="N1537" i="4" s="1"/>
  <c r="M1612" i="4" s="1"/>
  <c r="G1537" i="4"/>
  <c r="J1537" i="4" s="1"/>
  <c r="M1537" i="4" s="1"/>
  <c r="L1612" i="4" s="1"/>
  <c r="G1315" i="4"/>
  <c r="J1315" i="4" s="1"/>
  <c r="M1315" i="4" s="1"/>
  <c r="L1390" i="4" s="1"/>
  <c r="E1315" i="4"/>
  <c r="H1315" i="4" s="1"/>
  <c r="K1315" i="4" s="1"/>
  <c r="N1315" i="4" s="1"/>
  <c r="M1390" i="4" s="1"/>
  <c r="K730" i="4"/>
  <c r="L730" i="4" s="1"/>
  <c r="M690" i="4"/>
  <c r="E333" i="4"/>
  <c r="H333" i="4" s="1"/>
  <c r="K333" i="4" s="1"/>
  <c r="N333" i="4" s="1"/>
  <c r="M410" i="4" s="1"/>
  <c r="G333" i="4"/>
  <c r="J333" i="4" s="1"/>
  <c r="M333" i="4" s="1"/>
  <c r="L410" i="4" s="1"/>
  <c r="E1314" i="4"/>
  <c r="H1314" i="4" s="1"/>
  <c r="K1314" i="4" s="1"/>
  <c r="N1314" i="4" s="1"/>
  <c r="M1389" i="4" s="1"/>
  <c r="G1314" i="4"/>
  <c r="J1314" i="4" s="1"/>
  <c r="M1314" i="4" s="1"/>
  <c r="L1389" i="4" s="1"/>
  <c r="K485" i="4"/>
  <c r="L485" i="4" s="1"/>
  <c r="M445" i="4"/>
  <c r="K729" i="4"/>
  <c r="L729" i="4" s="1"/>
  <c r="M689" i="4"/>
  <c r="K1219" i="4"/>
  <c r="L1219" i="4" s="1"/>
  <c r="K1710" i="4"/>
  <c r="L1710" i="4" s="1"/>
  <c r="M1670" i="4"/>
  <c r="K484" i="4"/>
  <c r="L484" i="4" s="1"/>
  <c r="M444" i="4"/>
  <c r="E83" i="4"/>
  <c r="H83" i="4" s="1"/>
  <c r="K83" i="4" s="1"/>
  <c r="N83" i="4" s="1"/>
  <c r="M158" i="4" s="1"/>
  <c r="G83" i="4"/>
  <c r="J83" i="4" s="1"/>
  <c r="M83" i="4" s="1"/>
  <c r="L158" i="4" s="1"/>
  <c r="K736" i="4"/>
  <c r="L736" i="4" s="1"/>
  <c r="M696" i="4"/>
  <c r="E339" i="4"/>
  <c r="H339" i="4" s="1"/>
  <c r="K339" i="4" s="1"/>
  <c r="N339" i="4" s="1"/>
  <c r="M416" i="4" s="1"/>
  <c r="G339" i="4"/>
  <c r="J339" i="4" s="1"/>
  <c r="M339" i="4" s="1"/>
  <c r="L416" i="4" s="1"/>
  <c r="K981" i="4"/>
  <c r="L981" i="4" s="1"/>
  <c r="M941" i="4"/>
  <c r="E1567" i="4"/>
  <c r="H1567" i="4" s="1"/>
  <c r="K1567" i="4" s="1"/>
  <c r="N1567" i="4" s="1"/>
  <c r="M1642" i="4" s="1"/>
  <c r="G1567" i="4"/>
  <c r="J1567" i="4" s="1"/>
  <c r="M1567" i="4" s="1"/>
  <c r="L1642" i="4" s="1"/>
  <c r="K1452" i="4"/>
  <c r="L1452" i="4" s="1"/>
  <c r="M1412" i="4"/>
  <c r="K472" i="4"/>
  <c r="L472" i="4" s="1"/>
  <c r="M432" i="4"/>
  <c r="E1055" i="4"/>
  <c r="H1055" i="4" s="1"/>
  <c r="K1055" i="4" s="1"/>
  <c r="N1055" i="4" s="1"/>
  <c r="M1130" i="4" s="1"/>
  <c r="G1055" i="4"/>
  <c r="J1055" i="4" s="1"/>
  <c r="M1055" i="4" s="1"/>
  <c r="L1130" i="4" s="1"/>
  <c r="K1198" i="4"/>
  <c r="L1198" i="4" s="1"/>
  <c r="M1158" i="4"/>
  <c r="E1539" i="4"/>
  <c r="H1539" i="4" s="1"/>
  <c r="K1539" i="4" s="1"/>
  <c r="N1539" i="4" s="1"/>
  <c r="M1614" i="4" s="1"/>
  <c r="G1539" i="4"/>
  <c r="J1539" i="4" s="1"/>
  <c r="M1539" i="4" s="1"/>
  <c r="L1614" i="4" s="1"/>
  <c r="K1444" i="4"/>
  <c r="L1444" i="4" s="1"/>
  <c r="M1404" i="4"/>
  <c r="K953" i="4"/>
  <c r="L953" i="4" s="1"/>
  <c r="M913" i="4"/>
  <c r="G1565" i="4"/>
  <c r="J1565" i="4" s="1"/>
  <c r="M1565" i="4" s="1"/>
  <c r="L1640" i="4" s="1"/>
  <c r="E1565" i="4"/>
  <c r="H1565" i="4" s="1"/>
  <c r="K1565" i="4" s="1"/>
  <c r="N1565" i="4" s="1"/>
  <c r="M1640" i="4" s="1"/>
  <c r="E337" i="4"/>
  <c r="H337" i="4" s="1"/>
  <c r="K337" i="4" s="1"/>
  <c r="N337" i="4" s="1"/>
  <c r="M414" i="4" s="1"/>
  <c r="G337" i="4"/>
  <c r="J337" i="4" s="1"/>
  <c r="M337" i="4" s="1"/>
  <c r="L414" i="4" s="1"/>
  <c r="G89" i="4"/>
  <c r="J89" i="4" s="1"/>
  <c r="M89" i="4" s="1"/>
  <c r="L164" i="4" s="1"/>
  <c r="E89" i="4"/>
  <c r="H89" i="4" s="1"/>
  <c r="K89" i="4" s="1"/>
  <c r="N89" i="4" s="1"/>
  <c r="M164" i="4" s="1"/>
  <c r="K1691" i="4"/>
  <c r="L1691" i="4" s="1"/>
  <c r="M1651" i="4"/>
  <c r="E312" i="4"/>
  <c r="H312" i="4" s="1"/>
  <c r="K312" i="4" s="1"/>
  <c r="N312" i="4" s="1"/>
  <c r="M389" i="4" s="1"/>
  <c r="G312" i="4"/>
  <c r="J312" i="4" s="1"/>
  <c r="M312" i="4" s="1"/>
  <c r="L389" i="4" s="1"/>
  <c r="G558" i="4"/>
  <c r="J558" i="4" s="1"/>
  <c r="M558" i="4" s="1"/>
  <c r="L633" i="4" s="1"/>
  <c r="E558" i="4"/>
  <c r="H558" i="4" s="1"/>
  <c r="K558" i="4" s="1"/>
  <c r="N558" i="4" s="1"/>
  <c r="M633" i="4" s="1"/>
  <c r="E1048" i="4"/>
  <c r="H1048" i="4" s="1"/>
  <c r="K1048" i="4" s="1"/>
  <c r="N1048" i="4" s="1"/>
  <c r="M1123" i="4" s="1"/>
  <c r="G1048" i="4"/>
  <c r="J1048" i="4" s="1"/>
  <c r="M1048" i="4" s="1"/>
  <c r="L1123" i="4" s="1"/>
  <c r="K222" i="4"/>
  <c r="L222" i="4" s="1"/>
  <c r="M184" i="4"/>
  <c r="E1056" i="4"/>
  <c r="H1056" i="4" s="1"/>
  <c r="K1056" i="4" s="1"/>
  <c r="N1056" i="4" s="1"/>
  <c r="M1131" i="4" s="1"/>
  <c r="G1056" i="4"/>
  <c r="J1056" i="4" s="1"/>
  <c r="M1056" i="4" s="1"/>
  <c r="L1131" i="4" s="1"/>
  <c r="K1453" i="4"/>
  <c r="L1453" i="4" s="1"/>
  <c r="M1413" i="4"/>
  <c r="G322" i="4"/>
  <c r="J322" i="4" s="1"/>
  <c r="M322" i="4" s="1"/>
  <c r="L399" i="4" s="1"/>
  <c r="E322" i="4"/>
  <c r="H322" i="4" s="1"/>
  <c r="K322" i="4" s="1"/>
  <c r="N322" i="4" s="1"/>
  <c r="M399" i="4" s="1"/>
  <c r="G568" i="4"/>
  <c r="J568" i="4" s="1"/>
  <c r="M568" i="4" s="1"/>
  <c r="L643" i="4" s="1"/>
  <c r="E568" i="4"/>
  <c r="H568" i="4" s="1"/>
  <c r="K568" i="4" s="1"/>
  <c r="N568" i="4" s="1"/>
  <c r="M643" i="4" s="1"/>
  <c r="G1304" i="4"/>
  <c r="J1304" i="4" s="1"/>
  <c r="M1304" i="4" s="1"/>
  <c r="L1379" i="4" s="1"/>
  <c r="E1304" i="4"/>
  <c r="H1304" i="4" s="1"/>
  <c r="K1304" i="4" s="1"/>
  <c r="N1304" i="4" s="1"/>
  <c r="M1379" i="4" s="1"/>
  <c r="G1550" i="4"/>
  <c r="J1550" i="4" s="1"/>
  <c r="M1550" i="4" s="1"/>
  <c r="L1625" i="4" s="1"/>
  <c r="E1550" i="4"/>
  <c r="H1550" i="4" s="1"/>
  <c r="K1550" i="4" s="1"/>
  <c r="N1550" i="4" s="1"/>
  <c r="M1625" i="4" s="1"/>
  <c r="G327" i="4"/>
  <c r="J327" i="4" s="1"/>
  <c r="M327" i="4" s="1"/>
  <c r="L404" i="4" s="1"/>
  <c r="E327" i="4"/>
  <c r="H327" i="4" s="1"/>
  <c r="K327" i="4" s="1"/>
  <c r="N327" i="4" s="1"/>
  <c r="M404" i="4" s="1"/>
  <c r="G818" i="4"/>
  <c r="J818" i="4" s="1"/>
  <c r="M818" i="4" s="1"/>
  <c r="L893" i="4" s="1"/>
  <c r="E818" i="4"/>
  <c r="H818" i="4" s="1"/>
  <c r="K818" i="4" s="1"/>
  <c r="N818" i="4" s="1"/>
  <c r="M893" i="4" s="1"/>
  <c r="G1555" i="4"/>
  <c r="J1555" i="4" s="1"/>
  <c r="M1555" i="4" s="1"/>
  <c r="L1630" i="4" s="1"/>
  <c r="E1555" i="4"/>
  <c r="H1555" i="4" s="1"/>
  <c r="K1555" i="4" s="1"/>
  <c r="N1555" i="4" s="1"/>
  <c r="M1630" i="4" s="1"/>
  <c r="E574" i="4"/>
  <c r="H574" i="4" s="1"/>
  <c r="K574" i="4" s="1"/>
  <c r="N574" i="4" s="1"/>
  <c r="M649" i="4" s="1"/>
  <c r="G574" i="4"/>
  <c r="J574" i="4" s="1"/>
  <c r="M574" i="4" s="1"/>
  <c r="L649" i="4" s="1"/>
  <c r="E1556" i="4"/>
  <c r="H1556" i="4" s="1"/>
  <c r="K1556" i="4" s="1"/>
  <c r="N1556" i="4" s="1"/>
  <c r="M1631" i="4" s="1"/>
  <c r="G1556" i="4"/>
  <c r="J1556" i="4" s="1"/>
  <c r="M1556" i="4" s="1"/>
  <c r="L1631" i="4" s="1"/>
  <c r="K230" i="4"/>
  <c r="L230" i="4" s="1"/>
  <c r="M192" i="4"/>
  <c r="K970" i="4"/>
  <c r="L970" i="4" s="1"/>
  <c r="M930" i="4"/>
  <c r="K1456" i="4"/>
  <c r="L1456" i="4" s="1"/>
  <c r="M1416" i="4"/>
  <c r="K225" i="4"/>
  <c r="L225" i="4" s="1"/>
  <c r="M187" i="4"/>
  <c r="E1059" i="4"/>
  <c r="H1059" i="4" s="1"/>
  <c r="K1059" i="4" s="1"/>
  <c r="N1059" i="4" s="1"/>
  <c r="M1134" i="4" s="1"/>
  <c r="G1059" i="4"/>
  <c r="J1059" i="4" s="1"/>
  <c r="M1059" i="4" s="1"/>
  <c r="L1134" i="4" s="1"/>
  <c r="K487" i="4"/>
  <c r="L487" i="4" s="1"/>
  <c r="M447" i="4"/>
  <c r="E1316" i="4"/>
  <c r="H1316" i="4" s="1"/>
  <c r="K1316" i="4" s="1"/>
  <c r="N1316" i="4" s="1"/>
  <c r="M1391" i="4" s="1"/>
  <c r="G1316" i="4"/>
  <c r="J1316" i="4" s="1"/>
  <c r="M1316" i="4" s="1"/>
  <c r="L1391" i="4" s="1"/>
  <c r="E1070" i="4"/>
  <c r="H1070" i="4" s="1"/>
  <c r="K1070" i="4" s="1"/>
  <c r="N1070" i="4" s="1"/>
  <c r="M1145" i="4" s="1"/>
  <c r="G1070" i="4"/>
  <c r="J1070" i="4" s="1"/>
  <c r="M1070" i="4" s="1"/>
  <c r="L1145" i="4" s="1"/>
  <c r="G825" i="4"/>
  <c r="J825" i="4" s="1"/>
  <c r="M825" i="4" s="1"/>
  <c r="L900" i="4" s="1"/>
  <c r="E825" i="4"/>
  <c r="H825" i="4" s="1"/>
  <c r="K825" i="4" s="1"/>
  <c r="N825" i="4" s="1"/>
  <c r="M900" i="4" s="1"/>
  <c r="K715" i="4"/>
  <c r="L715" i="4" s="1"/>
  <c r="M675" i="4"/>
  <c r="G70" i="4"/>
  <c r="J70" i="4" s="1"/>
  <c r="M70" i="4" s="1"/>
  <c r="L145" i="4" s="1"/>
  <c r="E70" i="4"/>
  <c r="H70" i="4" s="1"/>
  <c r="K70" i="4" s="1"/>
  <c r="N70" i="4" s="1"/>
  <c r="M145" i="4" s="1"/>
  <c r="G809" i="4"/>
  <c r="J809" i="4" s="1"/>
  <c r="M809" i="4" s="1"/>
  <c r="L884" i="4" s="1"/>
  <c r="E809" i="4"/>
  <c r="H809" i="4" s="1"/>
  <c r="K809" i="4" s="1"/>
  <c r="N809" i="4" s="1"/>
  <c r="M884" i="4" s="1"/>
  <c r="E317" i="4"/>
  <c r="H317" i="4" s="1"/>
  <c r="K317" i="4" s="1"/>
  <c r="N317" i="4" s="1"/>
  <c r="M394" i="4" s="1"/>
  <c r="G317" i="4"/>
  <c r="J317" i="4" s="1"/>
  <c r="M317" i="4" s="1"/>
  <c r="L394" i="4" s="1"/>
  <c r="G1053" i="4"/>
  <c r="J1053" i="4" s="1"/>
  <c r="M1053" i="4" s="1"/>
  <c r="L1128" i="4" s="1"/>
  <c r="E1053" i="4"/>
  <c r="H1053" i="4" s="1"/>
  <c r="K1053" i="4" s="1"/>
  <c r="N1053" i="4" s="1"/>
  <c r="M1128" i="4" s="1"/>
  <c r="K1696" i="4"/>
  <c r="L1696" i="4" s="1"/>
  <c r="M1656" i="4"/>
  <c r="K1450" i="4"/>
  <c r="L1450" i="4" s="1"/>
  <c r="M1410" i="4"/>
  <c r="K1217" i="4"/>
  <c r="L1217" i="4" s="1"/>
  <c r="E330" i="4"/>
  <c r="H330" i="4" s="1"/>
  <c r="K330" i="4" s="1"/>
  <c r="N330" i="4" s="1"/>
  <c r="M407" i="4" s="1"/>
  <c r="G330" i="4"/>
  <c r="J330" i="4" s="1"/>
  <c r="M330" i="4" s="1"/>
  <c r="L407" i="4" s="1"/>
  <c r="K1463" i="4"/>
  <c r="L1463" i="4" s="1"/>
  <c r="M1423" i="4"/>
  <c r="H1730" i="4"/>
  <c r="O41" i="5"/>
  <c r="G115" i="5" s="1"/>
  <c r="I115" i="5" s="1"/>
  <c r="O189" i="5"/>
  <c r="G263" i="5" s="1"/>
  <c r="I263" i="5" s="1"/>
  <c r="O203" i="5"/>
  <c r="G277" i="5" s="1"/>
  <c r="I277" i="5" s="1"/>
  <c r="O19" i="5"/>
  <c r="G93" i="5" s="1"/>
  <c r="I93" i="5" s="1"/>
  <c r="O190" i="5"/>
  <c r="G264" i="5" s="1"/>
  <c r="I264" i="5" s="1"/>
  <c r="O191" i="5"/>
  <c r="G265" i="5" s="1"/>
  <c r="I265" i="5" s="1"/>
  <c r="O200" i="5"/>
  <c r="G274" i="5" s="1"/>
  <c r="I274" i="5" s="1"/>
  <c r="O174" i="5"/>
  <c r="G248" i="5" s="1"/>
  <c r="I248" i="5" s="1"/>
  <c r="O198" i="5"/>
  <c r="G272" i="5" s="1"/>
  <c r="I272" i="5" s="1"/>
  <c r="O197" i="5"/>
  <c r="G271" i="5" s="1"/>
  <c r="I271" i="5" s="1"/>
  <c r="O50" i="5"/>
  <c r="G124" i="5" s="1"/>
  <c r="I124" i="5" s="1"/>
  <c r="O184" i="5"/>
  <c r="G258" i="5" s="1"/>
  <c r="I258" i="5" s="1"/>
  <c r="O176" i="5"/>
  <c r="G250" i="5" s="1"/>
  <c r="I250" i="5" s="1"/>
  <c r="O177" i="5"/>
  <c r="G251" i="5" s="1"/>
  <c r="I251" i="5" s="1"/>
  <c r="O38" i="5"/>
  <c r="G112" i="5" s="1"/>
  <c r="I112" i="5" s="1"/>
  <c r="O45" i="5"/>
  <c r="G119" i="5" s="1"/>
  <c r="I119" i="5" s="1"/>
  <c r="O182" i="5"/>
  <c r="G256" i="5" s="1"/>
  <c r="I256" i="5" s="1"/>
  <c r="O195" i="5"/>
  <c r="G269" i="5" s="1"/>
  <c r="I269" i="5" s="1"/>
  <c r="O183" i="5"/>
  <c r="G257" i="5" s="1"/>
  <c r="I257" i="5" s="1"/>
  <c r="K226" i="4"/>
  <c r="L226" i="4" s="1"/>
  <c r="M188" i="4"/>
  <c r="G1060" i="4"/>
  <c r="J1060" i="4" s="1"/>
  <c r="M1060" i="4" s="1"/>
  <c r="L1135" i="4" s="1"/>
  <c r="E1060" i="4"/>
  <c r="H1060" i="4" s="1"/>
  <c r="K1060" i="4" s="1"/>
  <c r="N1060" i="4" s="1"/>
  <c r="M1135" i="4" s="1"/>
  <c r="E1306" i="4"/>
  <c r="H1306" i="4" s="1"/>
  <c r="K1306" i="4" s="1"/>
  <c r="N1306" i="4" s="1"/>
  <c r="M1381" i="4" s="1"/>
  <c r="G1306" i="4"/>
  <c r="J1306" i="4" s="1"/>
  <c r="M1306" i="4" s="1"/>
  <c r="L1381" i="4" s="1"/>
  <c r="E584" i="4"/>
  <c r="H584" i="4" s="1"/>
  <c r="K584" i="4" s="1"/>
  <c r="N584" i="4" s="1"/>
  <c r="M659" i="4" s="1"/>
  <c r="G584" i="4"/>
  <c r="J584" i="4" s="1"/>
  <c r="M584" i="4" s="1"/>
  <c r="L659" i="4" s="1"/>
  <c r="K491" i="4"/>
  <c r="L491" i="4" s="1"/>
  <c r="M451" i="4"/>
  <c r="K705" i="4"/>
  <c r="L705" i="4" s="1"/>
  <c r="M665" i="4"/>
  <c r="G60" i="4"/>
  <c r="J60" i="4" s="1"/>
  <c r="M60" i="4" s="1"/>
  <c r="L135" i="4" s="1"/>
  <c r="E60" i="4"/>
  <c r="H60" i="4" s="1"/>
  <c r="K60" i="4" s="1"/>
  <c r="N60" i="4" s="1"/>
  <c r="M135" i="4" s="1"/>
  <c r="K967" i="4"/>
  <c r="L967" i="4" s="1"/>
  <c r="M927" i="4"/>
  <c r="K227" i="4"/>
  <c r="L227" i="4" s="1"/>
  <c r="M189" i="4"/>
  <c r="K1459" i="4"/>
  <c r="L1459" i="4" s="1"/>
  <c r="M1419" i="4"/>
  <c r="G1554" i="4"/>
  <c r="J1554" i="4" s="1"/>
  <c r="M1554" i="4" s="1"/>
  <c r="L1629" i="4" s="1"/>
  <c r="E1554" i="4"/>
  <c r="H1554" i="4" s="1"/>
  <c r="K1554" i="4" s="1"/>
  <c r="N1554" i="4" s="1"/>
  <c r="M1629" i="4" s="1"/>
  <c r="G572" i="4"/>
  <c r="J572" i="4" s="1"/>
  <c r="M572" i="4" s="1"/>
  <c r="L647" i="4" s="1"/>
  <c r="E572" i="4"/>
  <c r="H572" i="4" s="1"/>
  <c r="K572" i="4" s="1"/>
  <c r="N572" i="4" s="1"/>
  <c r="M647" i="4" s="1"/>
  <c r="E67" i="4"/>
  <c r="H67" i="4" s="1"/>
  <c r="K67" i="4" s="1"/>
  <c r="N67" i="4" s="1"/>
  <c r="M142" i="4" s="1"/>
  <c r="G67" i="4"/>
  <c r="J67" i="4" s="1"/>
  <c r="M67" i="4" s="1"/>
  <c r="L142" i="4" s="1"/>
  <c r="E561" i="4"/>
  <c r="H561" i="4" s="1"/>
  <c r="K561" i="4" s="1"/>
  <c r="N561" i="4" s="1"/>
  <c r="M636" i="4" s="1"/>
  <c r="G561" i="4"/>
  <c r="J561" i="4" s="1"/>
  <c r="M561" i="4" s="1"/>
  <c r="L636" i="4" s="1"/>
  <c r="G1297" i="4"/>
  <c r="J1297" i="4" s="1"/>
  <c r="M1297" i="4" s="1"/>
  <c r="L1372" i="4" s="1"/>
  <c r="E1297" i="4"/>
  <c r="H1297" i="4" s="1"/>
  <c r="K1297" i="4" s="1"/>
  <c r="N1297" i="4" s="1"/>
  <c r="M1372" i="4" s="1"/>
  <c r="G315" i="4"/>
  <c r="J315" i="4" s="1"/>
  <c r="M315" i="4" s="1"/>
  <c r="L392" i="4" s="1"/>
  <c r="E315" i="4"/>
  <c r="H315" i="4" s="1"/>
  <c r="K315" i="4" s="1"/>
  <c r="N315" i="4" s="1"/>
  <c r="M392" i="4" s="1"/>
  <c r="E1317" i="4"/>
  <c r="H1317" i="4" s="1"/>
  <c r="K1317" i="4" s="1"/>
  <c r="N1317" i="4" s="1"/>
  <c r="M1392" i="4" s="1"/>
  <c r="G1317" i="4"/>
  <c r="J1317" i="4" s="1"/>
  <c r="M1317" i="4" s="1"/>
  <c r="L1392" i="4" s="1"/>
  <c r="E826" i="4"/>
  <c r="H826" i="4" s="1"/>
  <c r="K826" i="4" s="1"/>
  <c r="N826" i="4" s="1"/>
  <c r="M901" i="4" s="1"/>
  <c r="G826" i="4"/>
  <c r="J826" i="4" s="1"/>
  <c r="M826" i="4" s="1"/>
  <c r="L901" i="4" s="1"/>
  <c r="K1222" i="4"/>
  <c r="L1222" i="4" s="1"/>
  <c r="K469" i="4"/>
  <c r="L469" i="4" s="1"/>
  <c r="M429" i="4"/>
  <c r="K958" i="4"/>
  <c r="L958" i="4" s="1"/>
  <c r="M918" i="4"/>
  <c r="E1052" i="4"/>
  <c r="H1052" i="4" s="1"/>
  <c r="K1052" i="4" s="1"/>
  <c r="N1052" i="4" s="1"/>
  <c r="M1127" i="4" s="1"/>
  <c r="G1052" i="4"/>
  <c r="J1052" i="4" s="1"/>
  <c r="M1052" i="4" s="1"/>
  <c r="L1127" i="4" s="1"/>
  <c r="K218" i="4"/>
  <c r="L218" i="4" s="1"/>
  <c r="M180" i="4"/>
  <c r="G61" i="4"/>
  <c r="J61" i="4" s="1"/>
  <c r="M61" i="4" s="1"/>
  <c r="L136" i="4" s="1"/>
  <c r="E61" i="4"/>
  <c r="H61" i="4" s="1"/>
  <c r="K61" i="4" s="1"/>
  <c r="N61" i="4" s="1"/>
  <c r="M136" i="4" s="1"/>
  <c r="E1291" i="4"/>
  <c r="H1291" i="4" s="1"/>
  <c r="K1291" i="4" s="1"/>
  <c r="N1291" i="4" s="1"/>
  <c r="M1366" i="4" s="1"/>
  <c r="G1291" i="4"/>
  <c r="J1291" i="4" s="1"/>
  <c r="M1291" i="4" s="1"/>
  <c r="L1366" i="4" s="1"/>
  <c r="E1045" i="4"/>
  <c r="H1045" i="4" s="1"/>
  <c r="K1045" i="4" s="1"/>
  <c r="N1045" i="4" s="1"/>
  <c r="M1120" i="4" s="1"/>
  <c r="G1045" i="4"/>
  <c r="J1045" i="4" s="1"/>
  <c r="M1045" i="4" s="1"/>
  <c r="L1120" i="4" s="1"/>
  <c r="K235" i="4"/>
  <c r="L235" i="4" s="1"/>
  <c r="M197" i="4"/>
  <c r="E1561" i="4"/>
  <c r="H1561" i="4" s="1"/>
  <c r="K1561" i="4" s="1"/>
  <c r="N1561" i="4" s="1"/>
  <c r="M1636" i="4" s="1"/>
  <c r="G1561" i="4"/>
  <c r="J1561" i="4" s="1"/>
  <c r="M1561" i="4" s="1"/>
  <c r="L1636" i="4" s="1"/>
  <c r="G824" i="4"/>
  <c r="J824" i="4" s="1"/>
  <c r="M824" i="4" s="1"/>
  <c r="L899" i="4" s="1"/>
  <c r="E824" i="4"/>
  <c r="H824" i="4" s="1"/>
  <c r="K824" i="4" s="1"/>
  <c r="N824" i="4" s="1"/>
  <c r="M899" i="4" s="1"/>
  <c r="K1220" i="4"/>
  <c r="L1220" i="4" s="1"/>
  <c r="K974" i="4"/>
  <c r="L974" i="4" s="1"/>
  <c r="M934" i="4"/>
  <c r="E1560" i="4"/>
  <c r="H1560" i="4" s="1"/>
  <c r="K1560" i="4" s="1"/>
  <c r="N1560" i="4" s="1"/>
  <c r="M1635" i="4" s="1"/>
  <c r="G1560" i="4"/>
  <c r="J1560" i="4" s="1"/>
  <c r="M1560" i="4" s="1"/>
  <c r="L1635" i="4" s="1"/>
  <c r="K234" i="4"/>
  <c r="L234" i="4" s="1"/>
  <c r="M196" i="4"/>
  <c r="G1067" i="4"/>
  <c r="J1067" i="4" s="1"/>
  <c r="M1067" i="4" s="1"/>
  <c r="L1142" i="4" s="1"/>
  <c r="E1067" i="4"/>
  <c r="H1067" i="4" s="1"/>
  <c r="K1067" i="4" s="1"/>
  <c r="N1067" i="4" s="1"/>
  <c r="M1142" i="4" s="1"/>
  <c r="K728" i="4"/>
  <c r="L728" i="4" s="1"/>
  <c r="M688" i="4"/>
  <c r="G822" i="4"/>
  <c r="J822" i="4" s="1"/>
  <c r="M822" i="4" s="1"/>
  <c r="L897" i="4" s="1"/>
  <c r="E822" i="4"/>
  <c r="H822" i="4" s="1"/>
  <c r="K822" i="4" s="1"/>
  <c r="N822" i="4" s="1"/>
  <c r="M897" i="4" s="1"/>
  <c r="G1313" i="4"/>
  <c r="J1313" i="4" s="1"/>
  <c r="M1313" i="4" s="1"/>
  <c r="L1388" i="4" s="1"/>
  <c r="E1313" i="4"/>
  <c r="H1313" i="4" s="1"/>
  <c r="K1313" i="4" s="1"/>
  <c r="N1313" i="4" s="1"/>
  <c r="M1388" i="4" s="1"/>
  <c r="E1075" i="4"/>
  <c r="H1075" i="4" s="1"/>
  <c r="K1075" i="4" s="1"/>
  <c r="N1075" i="4" s="1"/>
  <c r="M1150" i="4" s="1"/>
  <c r="G1075" i="4"/>
  <c r="J1075" i="4" s="1"/>
  <c r="M1075" i="4" s="1"/>
  <c r="L1150" i="4" s="1"/>
  <c r="G91" i="4"/>
  <c r="J91" i="4" s="1"/>
  <c r="M91" i="4" s="1"/>
  <c r="L166" i="4" s="1"/>
  <c r="E91" i="4"/>
  <c r="H91" i="4" s="1"/>
  <c r="K91" i="4" s="1"/>
  <c r="N91" i="4" s="1"/>
  <c r="M166" i="4" s="1"/>
  <c r="K1472" i="4"/>
  <c r="L1472" i="4" s="1"/>
  <c r="M1432" i="4"/>
  <c r="K1698" i="4"/>
  <c r="L1698" i="4" s="1"/>
  <c r="M1658" i="4"/>
  <c r="K961" i="4"/>
  <c r="L961" i="4" s="1"/>
  <c r="M921" i="4"/>
  <c r="K221" i="4"/>
  <c r="L221" i="4" s="1"/>
  <c r="M183" i="4"/>
  <c r="E565" i="4"/>
  <c r="H565" i="4" s="1"/>
  <c r="K565" i="4" s="1"/>
  <c r="N565" i="4" s="1"/>
  <c r="M640" i="4" s="1"/>
  <c r="G565" i="4"/>
  <c r="J565" i="4" s="1"/>
  <c r="M565" i="4" s="1"/>
  <c r="L640" i="4" s="1"/>
  <c r="E63" i="4"/>
  <c r="H63" i="4" s="1"/>
  <c r="K63" i="4" s="1"/>
  <c r="N63" i="4" s="1"/>
  <c r="M138" i="4" s="1"/>
  <c r="G63" i="4"/>
  <c r="J63" i="4" s="1"/>
  <c r="M63" i="4" s="1"/>
  <c r="L138" i="4" s="1"/>
  <c r="E557" i="4"/>
  <c r="H557" i="4" s="1"/>
  <c r="K557" i="4" s="1"/>
  <c r="N557" i="4" s="1"/>
  <c r="M632" i="4" s="1"/>
  <c r="G557" i="4"/>
  <c r="J557" i="4" s="1"/>
  <c r="M557" i="4" s="1"/>
  <c r="L632" i="4" s="1"/>
  <c r="G311" i="4"/>
  <c r="J311" i="4" s="1"/>
  <c r="M311" i="4" s="1"/>
  <c r="L388" i="4" s="1"/>
  <c r="E311" i="4"/>
  <c r="H311" i="4" s="1"/>
  <c r="K311" i="4" s="1"/>
  <c r="N311" i="4" s="1"/>
  <c r="M388" i="4" s="1"/>
  <c r="M694" i="4"/>
  <c r="K734" i="4"/>
  <c r="L734" i="4" s="1"/>
  <c r="E828" i="4"/>
  <c r="H828" i="4" s="1"/>
  <c r="K828" i="4" s="1"/>
  <c r="N828" i="4" s="1"/>
  <c r="M903" i="4" s="1"/>
  <c r="G828" i="4"/>
  <c r="J828" i="4" s="1"/>
  <c r="M828" i="4" s="1"/>
  <c r="L903" i="4" s="1"/>
  <c r="K1470" i="4"/>
  <c r="L1470" i="4" s="1"/>
  <c r="M1430" i="4"/>
  <c r="K1224" i="4"/>
  <c r="L1224" i="4" s="1"/>
  <c r="K954" i="4"/>
  <c r="L954" i="4" s="1"/>
  <c r="M914" i="4"/>
  <c r="K1445" i="4"/>
  <c r="L1445" i="4" s="1"/>
  <c r="M1405" i="4"/>
  <c r="G64" i="4"/>
  <c r="J64" i="4" s="1"/>
  <c r="M64" i="4" s="1"/>
  <c r="L139" i="4" s="1"/>
  <c r="E64" i="4"/>
  <c r="H64" i="4" s="1"/>
  <c r="K64" i="4" s="1"/>
  <c r="N64" i="4" s="1"/>
  <c r="M139" i="4" s="1"/>
  <c r="E1548" i="4"/>
  <c r="H1548" i="4" s="1"/>
  <c r="K1548" i="4" s="1"/>
  <c r="N1548" i="4" s="1"/>
  <c r="M1623" i="4" s="1"/>
  <c r="G1548" i="4"/>
  <c r="J1548" i="4" s="1"/>
  <c r="M1548" i="4" s="1"/>
  <c r="L1623" i="4" s="1"/>
  <c r="K473" i="4"/>
  <c r="L473" i="4" s="1"/>
  <c r="M433" i="4"/>
  <c r="E566" i="4"/>
  <c r="H566" i="4" s="1"/>
  <c r="K566" i="4" s="1"/>
  <c r="N566" i="4" s="1"/>
  <c r="M641" i="4" s="1"/>
  <c r="G566" i="4"/>
  <c r="J566" i="4" s="1"/>
  <c r="M566" i="4" s="1"/>
  <c r="L641" i="4" s="1"/>
  <c r="K962" i="4"/>
  <c r="L962" i="4" s="1"/>
  <c r="M922" i="4"/>
  <c r="K224" i="4"/>
  <c r="L224" i="4" s="1"/>
  <c r="M186" i="4"/>
  <c r="G813" i="4"/>
  <c r="J813" i="4" s="1"/>
  <c r="M813" i="4" s="1"/>
  <c r="L888" i="4" s="1"/>
  <c r="E813" i="4"/>
  <c r="H813" i="4" s="1"/>
  <c r="K813" i="4" s="1"/>
  <c r="N813" i="4" s="1"/>
  <c r="M888" i="4" s="1"/>
  <c r="G1058" i="4"/>
  <c r="J1058" i="4" s="1"/>
  <c r="M1058" i="4" s="1"/>
  <c r="L1133" i="4" s="1"/>
  <c r="E1058" i="4"/>
  <c r="H1058" i="4" s="1"/>
  <c r="K1058" i="4" s="1"/>
  <c r="N1058" i="4" s="1"/>
  <c r="M1133" i="4" s="1"/>
  <c r="K724" i="4"/>
  <c r="L724" i="4" s="1"/>
  <c r="M684" i="4"/>
  <c r="G1309" i="4"/>
  <c r="J1309" i="4" s="1"/>
  <c r="M1309" i="4" s="1"/>
  <c r="L1384" i="4" s="1"/>
  <c r="E1309" i="4"/>
  <c r="H1309" i="4" s="1"/>
  <c r="K1309" i="4" s="1"/>
  <c r="N1309" i="4" s="1"/>
  <c r="M1384" i="4" s="1"/>
  <c r="K229" i="4"/>
  <c r="L229" i="4" s="1"/>
  <c r="M191" i="4"/>
  <c r="K1214" i="4"/>
  <c r="L1214" i="4" s="1"/>
  <c r="K481" i="4"/>
  <c r="L481" i="4" s="1"/>
  <c r="M441" i="4"/>
  <c r="E1064" i="4"/>
  <c r="H1064" i="4" s="1"/>
  <c r="K1064" i="4" s="1"/>
  <c r="N1064" i="4" s="1"/>
  <c r="M1139" i="4" s="1"/>
  <c r="G1064" i="4"/>
  <c r="J1064" i="4" s="1"/>
  <c r="M1064" i="4" s="1"/>
  <c r="L1139" i="4" s="1"/>
  <c r="K1461" i="4"/>
  <c r="L1461" i="4" s="1"/>
  <c r="M1421" i="4"/>
  <c r="G1551" i="4"/>
  <c r="J1551" i="4" s="1"/>
  <c r="M1551" i="4" s="1"/>
  <c r="L1626" i="4" s="1"/>
  <c r="E1551" i="4"/>
  <c r="H1551" i="4" s="1"/>
  <c r="K1551" i="4" s="1"/>
  <c r="N1551" i="4" s="1"/>
  <c r="M1626" i="4" s="1"/>
  <c r="K965" i="4"/>
  <c r="L965" i="4" s="1"/>
  <c r="M925" i="4"/>
  <c r="K476" i="4"/>
  <c r="L476" i="4" s="1"/>
  <c r="M436" i="4"/>
  <c r="K720" i="4"/>
  <c r="L720" i="4" s="1"/>
  <c r="M680" i="4"/>
  <c r="E580" i="4"/>
  <c r="H580" i="4" s="1"/>
  <c r="K580" i="4" s="1"/>
  <c r="N580" i="4" s="1"/>
  <c r="M655" i="4" s="1"/>
  <c r="G580" i="4"/>
  <c r="J580" i="4" s="1"/>
  <c r="M580" i="4" s="1"/>
  <c r="L655" i="4" s="1"/>
  <c r="K236" i="4"/>
  <c r="L236" i="4" s="1"/>
  <c r="M198" i="4"/>
  <c r="K1713" i="4"/>
  <c r="L1713" i="4" s="1"/>
  <c r="M1673" i="4"/>
  <c r="K471" i="4"/>
  <c r="L471" i="4" s="1"/>
  <c r="M431" i="4"/>
  <c r="G1054" i="4"/>
  <c r="J1054" i="4" s="1"/>
  <c r="M1054" i="4" s="1"/>
  <c r="L1129" i="4" s="1"/>
  <c r="E1054" i="4"/>
  <c r="H1054" i="4" s="1"/>
  <c r="K1054" i="4" s="1"/>
  <c r="N1054" i="4" s="1"/>
  <c r="M1129" i="4" s="1"/>
  <c r="E1546" i="4"/>
  <c r="H1546" i="4" s="1"/>
  <c r="K1546" i="4" s="1"/>
  <c r="N1546" i="4" s="1"/>
  <c r="M1621" i="4" s="1"/>
  <c r="G1546" i="4"/>
  <c r="J1546" i="4" s="1"/>
  <c r="M1546" i="4" s="1"/>
  <c r="L1621" i="4" s="1"/>
  <c r="G1300" i="4"/>
  <c r="J1300" i="4" s="1"/>
  <c r="M1300" i="4" s="1"/>
  <c r="L1375" i="4" s="1"/>
  <c r="E1300" i="4"/>
  <c r="H1300" i="4" s="1"/>
  <c r="K1300" i="4" s="1"/>
  <c r="N1300" i="4" s="1"/>
  <c r="M1375" i="4" s="1"/>
  <c r="K714" i="4"/>
  <c r="L714" i="4" s="1"/>
  <c r="M674" i="4"/>
  <c r="K959" i="4"/>
  <c r="L959" i="4" s="1"/>
  <c r="M919" i="4"/>
  <c r="K219" i="4"/>
  <c r="L219" i="4" s="1"/>
  <c r="M181" i="4"/>
  <c r="E1558" i="4"/>
  <c r="H1558" i="4" s="1"/>
  <c r="K1558" i="4" s="1"/>
  <c r="N1558" i="4" s="1"/>
  <c r="M1633" i="4" s="1"/>
  <c r="G1558" i="4"/>
  <c r="J1558" i="4" s="1"/>
  <c r="M1558" i="4" s="1"/>
  <c r="L1633" i="4" s="1"/>
  <c r="E821" i="4"/>
  <c r="H821" i="4" s="1"/>
  <c r="K821" i="4" s="1"/>
  <c r="N821" i="4" s="1"/>
  <c r="M896" i="4" s="1"/>
  <c r="G821" i="4"/>
  <c r="J821" i="4" s="1"/>
  <c r="M821" i="4" s="1"/>
  <c r="L896" i="4" s="1"/>
  <c r="K727" i="4"/>
  <c r="L727" i="4" s="1"/>
  <c r="M687" i="4"/>
  <c r="G82" i="4"/>
  <c r="J82" i="4" s="1"/>
  <c r="M82" i="4" s="1"/>
  <c r="L157" i="4" s="1"/>
  <c r="E82" i="4"/>
  <c r="H82" i="4" s="1"/>
  <c r="K82" i="4" s="1"/>
  <c r="N82" i="4" s="1"/>
  <c r="M157" i="4" s="1"/>
  <c r="K1703" i="4"/>
  <c r="L1703" i="4" s="1"/>
  <c r="M1663" i="4"/>
  <c r="E815" i="4"/>
  <c r="H815" i="4" s="1"/>
  <c r="K815" i="4" s="1"/>
  <c r="N815" i="4" s="1"/>
  <c r="M890" i="4" s="1"/>
  <c r="G815" i="4"/>
  <c r="J815" i="4" s="1"/>
  <c r="M815" i="4" s="1"/>
  <c r="L890" i="4" s="1"/>
  <c r="K477" i="4"/>
  <c r="L477" i="4" s="1"/>
  <c r="M437" i="4"/>
  <c r="K721" i="4"/>
  <c r="L721" i="4" s="1"/>
  <c r="M681" i="4"/>
  <c r="G1320" i="4"/>
  <c r="J1320" i="4" s="1"/>
  <c r="M1320" i="4" s="1"/>
  <c r="L1395" i="4" s="1"/>
  <c r="E1320" i="4"/>
  <c r="H1320" i="4" s="1"/>
  <c r="K1320" i="4" s="1"/>
  <c r="N1320" i="4" s="1"/>
  <c r="M1395" i="4" s="1"/>
  <c r="G90" i="4"/>
  <c r="J90" i="4" s="1"/>
  <c r="M90" i="4" s="1"/>
  <c r="L165" i="4" s="1"/>
  <c r="E90" i="4"/>
  <c r="H90" i="4" s="1"/>
  <c r="K90" i="4" s="1"/>
  <c r="N90" i="4" s="1"/>
  <c r="M165" i="4" s="1"/>
  <c r="E829" i="4"/>
  <c r="H829" i="4" s="1"/>
  <c r="K829" i="4" s="1"/>
  <c r="N829" i="4" s="1"/>
  <c r="M904" i="4" s="1"/>
  <c r="G829" i="4"/>
  <c r="J829" i="4" s="1"/>
  <c r="M829" i="4" s="1"/>
  <c r="L904" i="4" s="1"/>
  <c r="K461" i="4"/>
  <c r="L461" i="4" s="1"/>
  <c r="M421" i="4"/>
  <c r="E1290" i="4"/>
  <c r="H1290" i="4" s="1"/>
  <c r="K1290" i="4" s="1"/>
  <c r="N1290" i="4" s="1"/>
  <c r="M1365" i="4" s="1"/>
  <c r="G1290" i="4"/>
  <c r="J1290" i="4" s="1"/>
  <c r="M1290" i="4" s="1"/>
  <c r="L1365" i="4" s="1"/>
  <c r="K950" i="4"/>
  <c r="L950" i="4" s="1"/>
  <c r="M910" i="4"/>
  <c r="G1536" i="4"/>
  <c r="J1536" i="4" s="1"/>
  <c r="M1536" i="4" s="1"/>
  <c r="L1611" i="4" s="1"/>
  <c r="E1536" i="4"/>
  <c r="H1536" i="4" s="1"/>
  <c r="K1536" i="4" s="1"/>
  <c r="N1536" i="4" s="1"/>
  <c r="M1611" i="4" s="1"/>
  <c r="E1061" i="4"/>
  <c r="H1061" i="4" s="1"/>
  <c r="K1061" i="4" s="1"/>
  <c r="N1061" i="4" s="1"/>
  <c r="M1136" i="4" s="1"/>
  <c r="G1061" i="4"/>
  <c r="J1061" i="4" s="1"/>
  <c r="M1061" i="4" s="1"/>
  <c r="L1136" i="4" s="1"/>
  <c r="K1704" i="4"/>
  <c r="L1704" i="4" s="1"/>
  <c r="M1664" i="4"/>
  <c r="K1458" i="4"/>
  <c r="L1458" i="4" s="1"/>
  <c r="M1418" i="4"/>
  <c r="E78" i="4"/>
  <c r="H78" i="4" s="1"/>
  <c r="K78" i="4" s="1"/>
  <c r="N78" i="4" s="1"/>
  <c r="M153" i="4" s="1"/>
  <c r="G78" i="4"/>
  <c r="J78" i="4" s="1"/>
  <c r="M78" i="4" s="1"/>
  <c r="L153" i="4" s="1"/>
  <c r="K968" i="4"/>
  <c r="L968" i="4" s="1"/>
  <c r="M928" i="4"/>
  <c r="G326" i="4"/>
  <c r="J326" i="4" s="1"/>
  <c r="M326" i="4" s="1"/>
  <c r="L403" i="4" s="1"/>
  <c r="E326" i="4"/>
  <c r="H326" i="4" s="1"/>
  <c r="K326" i="4" s="1"/>
  <c r="N326" i="4" s="1"/>
  <c r="M403" i="4" s="1"/>
  <c r="K1213" i="4"/>
  <c r="L1213" i="4" s="1"/>
  <c r="E806" i="4"/>
  <c r="H806" i="4" s="1"/>
  <c r="K806" i="4" s="1"/>
  <c r="N806" i="4" s="1"/>
  <c r="M881" i="4" s="1"/>
  <c r="G806" i="4"/>
  <c r="J806" i="4" s="1"/>
  <c r="M806" i="4" s="1"/>
  <c r="L881" i="4" s="1"/>
  <c r="K1694" i="4"/>
  <c r="L1694" i="4" s="1"/>
  <c r="M1654" i="4"/>
  <c r="G1051" i="4"/>
  <c r="J1051" i="4" s="1"/>
  <c r="M1051" i="4" s="1"/>
  <c r="L1126" i="4" s="1"/>
  <c r="E1051" i="4"/>
  <c r="H1051" i="4" s="1"/>
  <c r="K1051" i="4" s="1"/>
  <c r="N1051" i="4" s="1"/>
  <c r="M1126" i="4" s="1"/>
  <c r="K488" i="4"/>
  <c r="L488" i="4" s="1"/>
  <c r="M448" i="4"/>
  <c r="G1563" i="4"/>
  <c r="J1563" i="4" s="1"/>
  <c r="M1563" i="4" s="1"/>
  <c r="L1638" i="4" s="1"/>
  <c r="E1563" i="4"/>
  <c r="H1563" i="4" s="1"/>
  <c r="K1563" i="4" s="1"/>
  <c r="N1563" i="4" s="1"/>
  <c r="M1638" i="4" s="1"/>
  <c r="K732" i="4"/>
  <c r="L732" i="4" s="1"/>
  <c r="M692" i="4"/>
  <c r="M199" i="4"/>
  <c r="K237" i="4"/>
  <c r="L237" i="4" s="1"/>
  <c r="K1695" i="4"/>
  <c r="L1695" i="4" s="1"/>
  <c r="M1655" i="4"/>
  <c r="K1449" i="4"/>
  <c r="L1449" i="4" s="1"/>
  <c r="M1409" i="4"/>
  <c r="G562" i="4"/>
  <c r="J562" i="4" s="1"/>
  <c r="M562" i="4" s="1"/>
  <c r="L637" i="4" s="1"/>
  <c r="E562" i="4"/>
  <c r="H562" i="4" s="1"/>
  <c r="K562" i="4" s="1"/>
  <c r="N562" i="4" s="1"/>
  <c r="M637" i="4" s="1"/>
  <c r="K462" i="4"/>
  <c r="L462" i="4" s="1"/>
  <c r="M422" i="4"/>
  <c r="K706" i="4"/>
  <c r="L706" i="4" s="1"/>
  <c r="M666" i="4"/>
  <c r="G800" i="4"/>
  <c r="J800" i="4" s="1"/>
  <c r="M800" i="4" s="1"/>
  <c r="L875" i="4" s="1"/>
  <c r="E800" i="4"/>
  <c r="H800" i="4" s="1"/>
  <c r="K800" i="4" s="1"/>
  <c r="N800" i="4" s="1"/>
  <c r="M875" i="4" s="1"/>
  <c r="K1688" i="4"/>
  <c r="L1688" i="4" s="1"/>
  <c r="M1648" i="4"/>
  <c r="K1466" i="4"/>
  <c r="L1466" i="4" s="1"/>
  <c r="M1426" i="4"/>
  <c r="G579" i="4"/>
  <c r="J579" i="4" s="1"/>
  <c r="M579" i="4" s="1"/>
  <c r="L654" i="4" s="1"/>
  <c r="E579" i="4"/>
  <c r="H579" i="4" s="1"/>
  <c r="K579" i="4" s="1"/>
  <c r="N579" i="4" s="1"/>
  <c r="M654" i="4" s="1"/>
  <c r="K486" i="4"/>
  <c r="L486" i="4" s="1"/>
  <c r="M446" i="4"/>
  <c r="K1465" i="4"/>
  <c r="L1465" i="4" s="1"/>
  <c r="M1425" i="4"/>
  <c r="G332" i="4"/>
  <c r="J332" i="4" s="1"/>
  <c r="M332" i="4" s="1"/>
  <c r="L409" i="4" s="1"/>
  <c r="E332" i="4"/>
  <c r="H332" i="4" s="1"/>
  <c r="K332" i="4" s="1"/>
  <c r="N332" i="4" s="1"/>
  <c r="M409" i="4" s="1"/>
  <c r="G578" i="4"/>
  <c r="J578" i="4" s="1"/>
  <c r="M578" i="4" s="1"/>
  <c r="L653" i="4" s="1"/>
  <c r="E578" i="4"/>
  <c r="H578" i="4" s="1"/>
  <c r="K578" i="4" s="1"/>
  <c r="N578" i="4" s="1"/>
  <c r="M653" i="4" s="1"/>
  <c r="E1068" i="4"/>
  <c r="H1068" i="4" s="1"/>
  <c r="K1068" i="4" s="1"/>
  <c r="N1068" i="4" s="1"/>
  <c r="M1143" i="4" s="1"/>
  <c r="G1068" i="4"/>
  <c r="J1068" i="4" s="1"/>
  <c r="M1068" i="4" s="1"/>
  <c r="L1143" i="4" s="1"/>
  <c r="E1559" i="4"/>
  <c r="H1559" i="4" s="1"/>
  <c r="K1559" i="4" s="1"/>
  <c r="N1559" i="4" s="1"/>
  <c r="M1634" i="4" s="1"/>
  <c r="G1559" i="4"/>
  <c r="J1559" i="4" s="1"/>
  <c r="M1559" i="4" s="1"/>
  <c r="L1634" i="4" s="1"/>
  <c r="G331" i="4"/>
  <c r="J331" i="4" s="1"/>
  <c r="M331" i="4" s="1"/>
  <c r="L408" i="4" s="1"/>
  <c r="E331" i="4"/>
  <c r="H331" i="4" s="1"/>
  <c r="K331" i="4" s="1"/>
  <c r="N331" i="4" s="1"/>
  <c r="M408" i="4" s="1"/>
  <c r="K233" i="4"/>
  <c r="L233" i="4" s="1"/>
  <c r="M195" i="4"/>
  <c r="E585" i="4"/>
  <c r="H585" i="4" s="1"/>
  <c r="K585" i="4" s="1"/>
  <c r="N585" i="4" s="1"/>
  <c r="M660" i="4" s="1"/>
  <c r="G585" i="4"/>
  <c r="J585" i="4" s="1"/>
  <c r="M585" i="4" s="1"/>
  <c r="L660" i="4" s="1"/>
  <c r="K492" i="4"/>
  <c r="L492" i="4" s="1"/>
  <c r="M452" i="4"/>
  <c r="E830" i="4"/>
  <c r="H830" i="4" s="1"/>
  <c r="K830" i="4" s="1"/>
  <c r="N830" i="4" s="1"/>
  <c r="M905" i="4" s="1"/>
  <c r="G830" i="4"/>
  <c r="J830" i="4" s="1"/>
  <c r="M830" i="4" s="1"/>
  <c r="L905" i="4" s="1"/>
  <c r="K1718" i="4"/>
  <c r="L1718" i="4" s="1"/>
  <c r="M1678" i="4"/>
  <c r="G1301" i="4"/>
  <c r="J1301" i="4" s="1"/>
  <c r="M1301" i="4" s="1"/>
  <c r="L1376" i="4" s="1"/>
  <c r="E1301" i="4"/>
  <c r="H1301" i="4" s="1"/>
  <c r="K1301" i="4" s="1"/>
  <c r="N1301" i="4" s="1"/>
  <c r="M1376" i="4" s="1"/>
  <c r="E319" i="4"/>
  <c r="H319" i="4" s="1"/>
  <c r="K319" i="4" s="1"/>
  <c r="N319" i="4" s="1"/>
  <c r="M396" i="4" s="1"/>
  <c r="G319" i="4"/>
  <c r="J319" i="4" s="1"/>
  <c r="M319" i="4" s="1"/>
  <c r="L396" i="4" s="1"/>
  <c r="K1206" i="4"/>
  <c r="L1206" i="4" s="1"/>
  <c r="M1166" i="4"/>
  <c r="E1047" i="4"/>
  <c r="H1047" i="4" s="1"/>
  <c r="K1047" i="4" s="1"/>
  <c r="N1047" i="4" s="1"/>
  <c r="M1122" i="4" s="1"/>
  <c r="G1047" i="4"/>
  <c r="J1047" i="4" s="1"/>
  <c r="M1047" i="4" s="1"/>
  <c r="L1122" i="4" s="1"/>
  <c r="K1690" i="4"/>
  <c r="L1690" i="4" s="1"/>
  <c r="M1650" i="4"/>
  <c r="G1293" i="4"/>
  <c r="J1293" i="4" s="1"/>
  <c r="M1293" i="4" s="1"/>
  <c r="L1368" i="4" s="1"/>
  <c r="E1293" i="4"/>
  <c r="H1293" i="4" s="1"/>
  <c r="K1293" i="4" s="1"/>
  <c r="N1293" i="4" s="1"/>
  <c r="M1368" i="4" s="1"/>
  <c r="G802" i="4"/>
  <c r="J802" i="4" s="1"/>
  <c r="M802" i="4" s="1"/>
  <c r="L877" i="4" s="1"/>
  <c r="E802" i="4"/>
  <c r="H802" i="4" s="1"/>
  <c r="K802" i="4" s="1"/>
  <c r="N802" i="4" s="1"/>
  <c r="M877" i="4" s="1"/>
  <c r="K1716" i="4"/>
  <c r="L1716" i="4" s="1"/>
  <c r="M1676" i="4"/>
  <c r="K490" i="4"/>
  <c r="L490" i="4" s="1"/>
  <c r="M450" i="4"/>
  <c r="M201" i="4"/>
  <c r="K239" i="4"/>
  <c r="L239" i="4" s="1"/>
  <c r="E1540" i="4"/>
  <c r="H1540" i="4" s="1"/>
  <c r="K1540" i="4" s="1"/>
  <c r="N1540" i="4" s="1"/>
  <c r="M1615" i="4" s="1"/>
  <c r="G1540" i="4"/>
  <c r="J1540" i="4" s="1"/>
  <c r="M1540" i="4" s="1"/>
  <c r="L1615" i="4" s="1"/>
  <c r="K465" i="4"/>
  <c r="L465" i="4" s="1"/>
  <c r="M425" i="4"/>
  <c r="K709" i="4"/>
  <c r="L709" i="4" s="1"/>
  <c r="M669" i="4"/>
  <c r="K1199" i="4"/>
  <c r="L1199" i="4" s="1"/>
  <c r="M1159" i="4"/>
  <c r="G72" i="4"/>
  <c r="J72" i="4" s="1"/>
  <c r="M72" i="4" s="1"/>
  <c r="L147" i="4" s="1"/>
  <c r="E72" i="4"/>
  <c r="H72" i="4" s="1"/>
  <c r="K72" i="4" s="1"/>
  <c r="N72" i="4" s="1"/>
  <c r="M147" i="4" s="1"/>
  <c r="K1207" i="4"/>
  <c r="L1207" i="4" s="1"/>
  <c r="E1302" i="4"/>
  <c r="H1302" i="4" s="1"/>
  <c r="K1302" i="4" s="1"/>
  <c r="N1302" i="4" s="1"/>
  <c r="M1377" i="4" s="1"/>
  <c r="G1302" i="4"/>
  <c r="J1302" i="4" s="1"/>
  <c r="M1302" i="4" s="1"/>
  <c r="L1377" i="4" s="1"/>
  <c r="K475" i="4"/>
  <c r="L475" i="4" s="1"/>
  <c r="M435" i="4"/>
  <c r="K719" i="4"/>
  <c r="L719" i="4" s="1"/>
  <c r="M679" i="4"/>
  <c r="K1455" i="4"/>
  <c r="L1455" i="4" s="1"/>
  <c r="M1415" i="4"/>
  <c r="K1701" i="4"/>
  <c r="L1701" i="4" s="1"/>
  <c r="M1661" i="4"/>
  <c r="K480" i="4"/>
  <c r="L480" i="4" s="1"/>
  <c r="M440" i="4"/>
  <c r="K969" i="4"/>
  <c r="L969" i="4" s="1"/>
  <c r="M929" i="4"/>
  <c r="K1706" i="4"/>
  <c r="L1706" i="4" s="1"/>
  <c r="M1666" i="4"/>
  <c r="K725" i="4"/>
  <c r="L725" i="4" s="1"/>
  <c r="M685" i="4"/>
  <c r="K1707" i="4"/>
  <c r="L1707" i="4" s="1"/>
  <c r="M1667" i="4"/>
  <c r="E80" i="4"/>
  <c r="H80" i="4" s="1"/>
  <c r="K80" i="4" s="1"/>
  <c r="N80" i="4" s="1"/>
  <c r="M155" i="4" s="1"/>
  <c r="G80" i="4"/>
  <c r="J80" i="4" s="1"/>
  <c r="M80" i="4" s="1"/>
  <c r="L155" i="4" s="1"/>
  <c r="E819" i="4"/>
  <c r="H819" i="4" s="1"/>
  <c r="K819" i="4" s="1"/>
  <c r="N819" i="4" s="1"/>
  <c r="M894" i="4" s="1"/>
  <c r="G819" i="4"/>
  <c r="J819" i="4" s="1"/>
  <c r="M819" i="4" s="1"/>
  <c r="L894" i="4" s="1"/>
  <c r="G1305" i="4"/>
  <c r="J1305" i="4" s="1"/>
  <c r="M1305" i="4" s="1"/>
  <c r="L1380" i="4" s="1"/>
  <c r="E1305" i="4"/>
  <c r="H1305" i="4" s="1"/>
  <c r="K1305" i="4" s="1"/>
  <c r="N1305" i="4" s="1"/>
  <c r="M1380" i="4" s="1"/>
  <c r="G75" i="4"/>
  <c r="J75" i="4" s="1"/>
  <c r="M75" i="4" s="1"/>
  <c r="L150" i="4" s="1"/>
  <c r="E75" i="4"/>
  <c r="H75" i="4" s="1"/>
  <c r="K75" i="4" s="1"/>
  <c r="N75" i="4" s="1"/>
  <c r="M150" i="4" s="1"/>
  <c r="K1210" i="4"/>
  <c r="L1210" i="4" s="1"/>
  <c r="G334" i="4"/>
  <c r="J334" i="4" s="1"/>
  <c r="M334" i="4" s="1"/>
  <c r="L411" i="4" s="1"/>
  <c r="E334" i="4"/>
  <c r="H334" i="4" s="1"/>
  <c r="K334" i="4" s="1"/>
  <c r="N334" i="4" s="1"/>
  <c r="M411" i="4" s="1"/>
  <c r="K1467" i="4"/>
  <c r="L1467" i="4" s="1"/>
  <c r="M1427" i="4"/>
  <c r="K1221" i="4"/>
  <c r="L1221" i="4" s="1"/>
  <c r="K976" i="4"/>
  <c r="L976" i="4" s="1"/>
  <c r="M936" i="4"/>
  <c r="E564" i="4"/>
  <c r="H564" i="4" s="1"/>
  <c r="K564" i="4" s="1"/>
  <c r="N564" i="4" s="1"/>
  <c r="M639" i="4" s="1"/>
  <c r="G564" i="4"/>
  <c r="J564" i="4" s="1"/>
  <c r="M564" i="4" s="1"/>
  <c r="L639" i="4" s="1"/>
  <c r="K220" i="4"/>
  <c r="L220" i="4" s="1"/>
  <c r="M182" i="4"/>
  <c r="K960" i="4"/>
  <c r="L960" i="4" s="1"/>
  <c r="M920" i="4"/>
  <c r="K470" i="4"/>
  <c r="L470" i="4" s="1"/>
  <c r="M430" i="4"/>
  <c r="K1204" i="4"/>
  <c r="L1204" i="4" s="1"/>
  <c r="M1164" i="4"/>
  <c r="G1545" i="4"/>
  <c r="J1545" i="4" s="1"/>
  <c r="M1545" i="4" s="1"/>
  <c r="L1620" i="4" s="1"/>
  <c r="E1545" i="4"/>
  <c r="H1545" i="4" s="1"/>
  <c r="K1545" i="4" s="1"/>
  <c r="N1545" i="4" s="1"/>
  <c r="M1620" i="4" s="1"/>
  <c r="G1299" i="4"/>
  <c r="J1299" i="4" s="1"/>
  <c r="M1299" i="4" s="1"/>
  <c r="L1374" i="4" s="1"/>
  <c r="E1299" i="4"/>
  <c r="H1299" i="4" s="1"/>
  <c r="K1299" i="4" s="1"/>
  <c r="N1299" i="4" s="1"/>
  <c r="M1374" i="4" s="1"/>
  <c r="E1066" i="4"/>
  <c r="H1066" i="4" s="1"/>
  <c r="K1066" i="4" s="1"/>
  <c r="N1066" i="4" s="1"/>
  <c r="M1141" i="4" s="1"/>
  <c r="G1066" i="4"/>
  <c r="J1066" i="4" s="1"/>
  <c r="M1066" i="4" s="1"/>
  <c r="L1141" i="4" s="1"/>
  <c r="K483" i="4"/>
  <c r="L483" i="4" s="1"/>
  <c r="M443" i="4"/>
  <c r="E1312" i="4"/>
  <c r="H1312" i="4" s="1"/>
  <c r="K1312" i="4" s="1"/>
  <c r="N1312" i="4" s="1"/>
  <c r="M1387" i="4" s="1"/>
  <c r="G1312" i="4"/>
  <c r="J1312" i="4" s="1"/>
  <c r="M1312" i="4" s="1"/>
  <c r="L1387" i="4" s="1"/>
  <c r="H1752" i="4"/>
  <c r="O49" i="5"/>
  <c r="G123" i="5" s="1"/>
  <c r="I123" i="5" s="1"/>
  <c r="O173" i="5"/>
  <c r="G247" i="5" s="1"/>
  <c r="I247" i="5" s="1"/>
  <c r="O180" i="5"/>
  <c r="G254" i="5" s="1"/>
  <c r="I254" i="5" s="1"/>
  <c r="O46" i="5"/>
  <c r="G120" i="5" s="1"/>
  <c r="I120" i="5" s="1"/>
  <c r="O20" i="5"/>
  <c r="G94" i="5" s="1"/>
  <c r="I94" i="5" s="1"/>
  <c r="O44" i="5"/>
  <c r="G118" i="5" s="1"/>
  <c r="I118" i="5" s="1"/>
  <c r="O43" i="5"/>
  <c r="G117" i="5" s="1"/>
  <c r="I117" i="5" s="1"/>
  <c r="O48" i="5"/>
  <c r="G122" i="5" s="1"/>
  <c r="I122" i="5" s="1"/>
  <c r="O187" i="5"/>
  <c r="G261" i="5" s="1"/>
  <c r="I261" i="5" s="1"/>
  <c r="B1730" i="4" l="1"/>
  <c r="G54" i="6"/>
  <c r="B139" i="5"/>
  <c r="L101" i="6"/>
  <c r="M101" i="6" s="1"/>
  <c r="B347" i="5"/>
  <c r="B141" i="5"/>
  <c r="E136" i="5"/>
  <c r="B314" i="5"/>
  <c r="B132" i="5"/>
  <c r="E302" i="5"/>
  <c r="B145" i="5"/>
  <c r="E144" i="5"/>
  <c r="E138" i="5"/>
  <c r="B147" i="5"/>
  <c r="D99" i="6"/>
  <c r="F99" i="6" s="1"/>
  <c r="D8" i="6"/>
  <c r="G8" i="6" s="1"/>
  <c r="E312" i="5"/>
  <c r="B309" i="5"/>
  <c r="E137" i="5"/>
  <c r="E327" i="5" s="1"/>
  <c r="B152" i="5"/>
  <c r="B342" i="5" s="1"/>
  <c r="E149" i="5"/>
  <c r="E303" i="5"/>
  <c r="B143" i="5"/>
  <c r="B339" i="5"/>
  <c r="E298" i="5"/>
  <c r="H1727" i="4"/>
  <c r="B140" i="5"/>
  <c r="H1743" i="4"/>
  <c r="H1755" i="4"/>
  <c r="B146" i="5"/>
  <c r="H1738" i="4"/>
  <c r="B291" i="5"/>
  <c r="B327" i="5" s="1"/>
  <c r="E133" i="5"/>
  <c r="B1725" i="4"/>
  <c r="B1731" i="4"/>
  <c r="H1744" i="4"/>
  <c r="H1725" i="4"/>
  <c r="H1731" i="4"/>
  <c r="E306" i="5"/>
  <c r="E342" i="5" s="1"/>
  <c r="B295" i="5"/>
  <c r="L77" i="6"/>
  <c r="M77" i="6" s="1"/>
  <c r="B1727" i="4"/>
  <c r="M94" i="2"/>
  <c r="T346" i="2"/>
  <c r="W346" i="2" s="1"/>
  <c r="F1019" i="4"/>
  <c r="I1019" i="4" s="1"/>
  <c r="L1019" i="4" s="1"/>
  <c r="C1132" i="4" s="1"/>
  <c r="J1168" i="4" s="1"/>
  <c r="M1168" i="4" s="1"/>
  <c r="B1737" i="4" s="1"/>
  <c r="D1019" i="4"/>
  <c r="G1018" i="4"/>
  <c r="J1018" i="4" s="1"/>
  <c r="M1018" i="4" s="1"/>
  <c r="D1131" i="4" s="1"/>
  <c r="E1018" i="4"/>
  <c r="H1018" i="4" s="1"/>
  <c r="K1018" i="4" s="1"/>
  <c r="N1018" i="4" s="1"/>
  <c r="E1131" i="4" s="1"/>
  <c r="X276" i="2"/>
  <c r="Q276" i="2"/>
  <c r="R276" i="2" s="1"/>
  <c r="Q347" i="2"/>
  <c r="R347" i="2" s="1"/>
  <c r="X347" i="2"/>
  <c r="T275" i="2"/>
  <c r="W275" i="2" s="1"/>
  <c r="M19" i="2"/>
  <c r="L18" i="2"/>
  <c r="H53" i="1" s="1"/>
  <c r="B1020" i="4" s="1"/>
  <c r="C1020" i="4" s="1"/>
  <c r="G53" i="1"/>
  <c r="U346" i="2"/>
  <c r="K94" i="2" s="1"/>
  <c r="V346" i="2"/>
  <c r="G123" i="1"/>
  <c r="L93" i="2"/>
  <c r="H123" i="1" s="1"/>
  <c r="S278" i="2"/>
  <c r="S348" i="2"/>
  <c r="P348" i="2" s="1"/>
  <c r="P277" i="2"/>
  <c r="U275" i="2"/>
  <c r="K19" i="2" s="1"/>
  <c r="V275" i="2"/>
  <c r="B158" i="5"/>
  <c r="B348" i="5" s="1"/>
  <c r="E158" i="5"/>
  <c r="E130" i="5"/>
  <c r="B130" i="5"/>
  <c r="E297" i="5"/>
  <c r="E333" i="5" s="1"/>
  <c r="B297" i="5"/>
  <c r="B333" i="5" s="1"/>
  <c r="B154" i="5"/>
  <c r="E154" i="5"/>
  <c r="E156" i="5"/>
  <c r="B156" i="5"/>
  <c r="B283" i="5"/>
  <c r="E283" i="5"/>
  <c r="L124" i="6"/>
  <c r="M124" i="6" s="1"/>
  <c r="L31" i="6"/>
  <c r="M31" i="6" s="1"/>
  <c r="B293" i="5"/>
  <c r="B329" i="5" s="1"/>
  <c r="E293" i="5"/>
  <c r="E329" i="5" s="1"/>
  <c r="B305" i="5"/>
  <c r="E305" i="5"/>
  <c r="B292" i="5"/>
  <c r="B328" i="5" s="1"/>
  <c r="E292" i="5"/>
  <c r="E328" i="5" s="1"/>
  <c r="B148" i="5"/>
  <c r="B338" i="5" s="1"/>
  <c r="E148" i="5"/>
  <c r="B286" i="5"/>
  <c r="E286" i="5"/>
  <c r="E322" i="5" s="1"/>
  <c r="B160" i="5"/>
  <c r="E160" i="5"/>
  <c r="E350" i="5" s="1"/>
  <c r="E308" i="5"/>
  <c r="B308" i="5"/>
  <c r="E310" i="5"/>
  <c r="B310" i="5"/>
  <c r="B300" i="5"/>
  <c r="E300" i="5"/>
  <c r="E336" i="5" s="1"/>
  <c r="B313" i="5"/>
  <c r="E313" i="5"/>
  <c r="B151" i="5"/>
  <c r="E151" i="5"/>
  <c r="G5" i="6"/>
  <c r="F5" i="6"/>
  <c r="H5" i="6" s="1"/>
  <c r="F96" i="6"/>
  <c r="G96" i="6"/>
  <c r="B1732" i="4"/>
  <c r="B1735" i="4"/>
  <c r="B1733" i="4"/>
  <c r="B1728" i="4"/>
  <c r="B1724" i="4"/>
  <c r="H1746" i="4"/>
  <c r="H1734" i="4"/>
  <c r="H1739" i="4"/>
  <c r="H1736" i="4"/>
  <c r="H1748" i="4"/>
  <c r="H1749" i="4"/>
  <c r="E325" i="5"/>
  <c r="L102" i="6" s="1"/>
  <c r="M102" i="6" s="1"/>
  <c r="B153" i="5"/>
  <c r="E153" i="5"/>
  <c r="B290" i="5"/>
  <c r="B326" i="5" s="1"/>
  <c r="E290" i="5"/>
  <c r="B159" i="5"/>
  <c r="E159" i="5"/>
  <c r="B155" i="5"/>
  <c r="E155" i="5"/>
  <c r="E345" i="5" s="1"/>
  <c r="E287" i="5"/>
  <c r="B287" i="5"/>
  <c r="B323" i="5" s="1"/>
  <c r="B294" i="5"/>
  <c r="E294" i="5"/>
  <c r="E330" i="5" s="1"/>
  <c r="E307" i="5"/>
  <c r="B307" i="5"/>
  <c r="E284" i="5"/>
  <c r="B284" i="5"/>
  <c r="B301" i="5"/>
  <c r="B337" i="5" s="1"/>
  <c r="E301" i="5"/>
  <c r="E337" i="5" s="1"/>
  <c r="E129" i="5"/>
  <c r="B129" i="5"/>
  <c r="B299" i="5"/>
  <c r="E299" i="5"/>
  <c r="E335" i="5" s="1"/>
  <c r="F51" i="6"/>
  <c r="H51" i="6" s="1"/>
  <c r="G51" i="6"/>
  <c r="H1753" i="4"/>
  <c r="H1732" i="4"/>
  <c r="H1740" i="4"/>
  <c r="H1750" i="4"/>
  <c r="H1735" i="4"/>
  <c r="H1741" i="4"/>
  <c r="B334" i="5"/>
  <c r="E331" i="5"/>
  <c r="H1733" i="4"/>
  <c r="H1728" i="4"/>
  <c r="H1747" i="4"/>
  <c r="H1751" i="4"/>
  <c r="H1724" i="4"/>
  <c r="H1754" i="4"/>
  <c r="B1734" i="4"/>
  <c r="B1736" i="4"/>
  <c r="H1742" i="4"/>
  <c r="B325" i="5"/>
  <c r="D55" i="6" s="1"/>
  <c r="B350" i="5" l="1"/>
  <c r="E326" i="5"/>
  <c r="B331" i="5"/>
  <c r="D61" i="6" s="1"/>
  <c r="B345" i="5"/>
  <c r="B322" i="5"/>
  <c r="D52" i="6" s="1"/>
  <c r="G52" i="6" s="1"/>
  <c r="E334" i="5"/>
  <c r="L64" i="6" s="1"/>
  <c r="M64" i="6" s="1"/>
  <c r="E338" i="5"/>
  <c r="L68" i="6" s="1"/>
  <c r="M68" i="6" s="1"/>
  <c r="B335" i="5"/>
  <c r="G99" i="6"/>
  <c r="F8" i="6"/>
  <c r="H8" i="6" s="1"/>
  <c r="E348" i="5"/>
  <c r="L78" i="6" s="1"/>
  <c r="M78" i="6" s="1"/>
  <c r="E320" i="5"/>
  <c r="L4" i="6" s="1"/>
  <c r="M4" i="6" s="1"/>
  <c r="L103" i="6"/>
  <c r="M103" i="6" s="1"/>
  <c r="B320" i="5"/>
  <c r="D4" i="6" s="1"/>
  <c r="G4" i="6" s="1"/>
  <c r="L52" i="6"/>
  <c r="M52" i="6" s="1"/>
  <c r="E346" i="5"/>
  <c r="L76" i="6" s="1"/>
  <c r="M76" i="6" s="1"/>
  <c r="E343" i="5"/>
  <c r="L73" i="6" s="1"/>
  <c r="M73" i="6" s="1"/>
  <c r="L17" i="6"/>
  <c r="M17" i="6" s="1"/>
  <c r="B336" i="5"/>
  <c r="L72" i="6"/>
  <c r="M72" i="6" s="1"/>
  <c r="E339" i="5"/>
  <c r="L23" i="6" s="1"/>
  <c r="M23" i="6" s="1"/>
  <c r="L58" i="6"/>
  <c r="M58" i="6" s="1"/>
  <c r="L110" i="6"/>
  <c r="M110" i="6" s="1"/>
  <c r="L6" i="6"/>
  <c r="M6" i="6" s="1"/>
  <c r="B330" i="5"/>
  <c r="D14" i="6" s="1"/>
  <c r="L99" i="6"/>
  <c r="M99" i="6" s="1"/>
  <c r="D101" i="6"/>
  <c r="F101" i="6" s="1"/>
  <c r="L60" i="6"/>
  <c r="M60" i="6" s="1"/>
  <c r="L9" i="6"/>
  <c r="M9" i="6" s="1"/>
  <c r="B346" i="5"/>
  <c r="L66" i="6"/>
  <c r="M66" i="6" s="1"/>
  <c r="B343" i="5"/>
  <c r="L57" i="6"/>
  <c r="M57" i="6" s="1"/>
  <c r="L61" i="6"/>
  <c r="M61" i="6" s="1"/>
  <c r="L65" i="6"/>
  <c r="M65" i="6" s="1"/>
  <c r="L10" i="6"/>
  <c r="M10" i="6" s="1"/>
  <c r="L75" i="6"/>
  <c r="M75" i="6" s="1"/>
  <c r="E323" i="5"/>
  <c r="L53" i="6" s="1"/>
  <c r="M53" i="6" s="1"/>
  <c r="L67" i="6"/>
  <c r="M67" i="6" s="1"/>
  <c r="B344" i="5"/>
  <c r="L55" i="6"/>
  <c r="M55" i="6" s="1"/>
  <c r="L59" i="6"/>
  <c r="M59" i="6" s="1"/>
  <c r="E344" i="5"/>
  <c r="L74" i="6" s="1"/>
  <c r="M74" i="6" s="1"/>
  <c r="L56" i="6"/>
  <c r="M56" i="6" s="1"/>
  <c r="L63" i="6"/>
  <c r="M63" i="6" s="1"/>
  <c r="L19" i="2"/>
  <c r="H54" i="1" s="1"/>
  <c r="B1021" i="4" s="1"/>
  <c r="C1021" i="4" s="1"/>
  <c r="G54" i="1"/>
  <c r="X348" i="2"/>
  <c r="Q348" i="2"/>
  <c r="R348" i="2" s="1"/>
  <c r="U347" i="2"/>
  <c r="K95" i="2" s="1"/>
  <c r="V347" i="2"/>
  <c r="T276" i="2"/>
  <c r="W276" i="2" s="1"/>
  <c r="M20" i="2"/>
  <c r="D107" i="6"/>
  <c r="D62" i="6"/>
  <c r="D16" i="6"/>
  <c r="Q277" i="2"/>
  <c r="R277" i="2" s="1"/>
  <c r="X277" i="2"/>
  <c r="S349" i="2"/>
  <c r="P349" i="2" s="1"/>
  <c r="S279" i="2"/>
  <c r="P278" i="2"/>
  <c r="G124" i="1"/>
  <c r="L94" i="2"/>
  <c r="H124" i="1" s="1"/>
  <c r="D1020" i="4"/>
  <c r="F1020" i="4"/>
  <c r="I1020" i="4" s="1"/>
  <c r="L1020" i="4" s="1"/>
  <c r="C1133" i="4" s="1"/>
  <c r="J1169" i="4" s="1"/>
  <c r="M1169" i="4" s="1"/>
  <c r="B1738" i="4" s="1"/>
  <c r="T347" i="2"/>
  <c r="W347" i="2" s="1"/>
  <c r="M95" i="2"/>
  <c r="V276" i="2"/>
  <c r="U276" i="2"/>
  <c r="K20" i="2" s="1"/>
  <c r="E1019" i="4"/>
  <c r="H1019" i="4" s="1"/>
  <c r="K1019" i="4" s="1"/>
  <c r="N1019" i="4" s="1"/>
  <c r="E1132" i="4" s="1"/>
  <c r="G1019" i="4"/>
  <c r="J1019" i="4" s="1"/>
  <c r="M1019" i="4" s="1"/>
  <c r="D1132" i="4" s="1"/>
  <c r="F55" i="6"/>
  <c r="H55" i="6" s="1"/>
  <c r="G55" i="6"/>
  <c r="L114" i="6"/>
  <c r="M114" i="6" s="1"/>
  <c r="L21" i="6"/>
  <c r="M21" i="6" s="1"/>
  <c r="L26" i="6"/>
  <c r="M26" i="6" s="1"/>
  <c r="L119" i="6"/>
  <c r="M119" i="6" s="1"/>
  <c r="L105" i="6"/>
  <c r="M105" i="6" s="1"/>
  <c r="L12" i="6"/>
  <c r="M12" i="6" s="1"/>
  <c r="L113" i="6"/>
  <c r="M113" i="6" s="1"/>
  <c r="L20" i="6"/>
  <c r="M20" i="6" s="1"/>
  <c r="L122" i="6"/>
  <c r="M122" i="6" s="1"/>
  <c r="L29" i="6"/>
  <c r="M29" i="6" s="1"/>
  <c r="L19" i="6"/>
  <c r="M19" i="6" s="1"/>
  <c r="L112" i="6"/>
  <c r="M112" i="6" s="1"/>
  <c r="L18" i="6"/>
  <c r="M18" i="6" s="1"/>
  <c r="D7" i="6"/>
  <c r="D98" i="6"/>
  <c r="D53" i="6"/>
  <c r="D103" i="6"/>
  <c r="D58" i="6"/>
  <c r="D12" i="6"/>
  <c r="D102" i="6"/>
  <c r="D57" i="6"/>
  <c r="D11" i="6"/>
  <c r="H96" i="6"/>
  <c r="G131" i="6"/>
  <c r="H99" i="6"/>
  <c r="D100" i="6"/>
  <c r="D9" i="6"/>
  <c r="B349" i="5"/>
  <c r="B341" i="5"/>
  <c r="D56" i="6"/>
  <c r="B319" i="5"/>
  <c r="D3" i="6" s="1"/>
  <c r="D15" i="6"/>
  <c r="D106" i="6"/>
  <c r="D59" i="6"/>
  <c r="D104" i="6"/>
  <c r="D13" i="6"/>
  <c r="L107" i="6"/>
  <c r="M107" i="6" s="1"/>
  <c r="L14" i="6"/>
  <c r="M14" i="6" s="1"/>
  <c r="L104" i="6"/>
  <c r="M104" i="6" s="1"/>
  <c r="L11" i="6"/>
  <c r="M11" i="6" s="1"/>
  <c r="L108" i="6"/>
  <c r="M108" i="6" s="1"/>
  <c r="L15" i="6"/>
  <c r="M15" i="6" s="1"/>
  <c r="L13" i="6"/>
  <c r="M13" i="6" s="1"/>
  <c r="L106" i="6"/>
  <c r="M106" i="6" s="1"/>
  <c r="I96" i="6"/>
  <c r="E349" i="5"/>
  <c r="L79" i="6" s="1"/>
  <c r="M79" i="6" s="1"/>
  <c r="E341" i="5"/>
  <c r="L25" i="6" s="1"/>
  <c r="M25" i="6" s="1"/>
  <c r="D10" i="6"/>
  <c r="E319" i="5"/>
  <c r="L96" i="6" s="1"/>
  <c r="M96" i="6" s="1"/>
  <c r="D97" i="6" l="1"/>
  <c r="D6" i="6"/>
  <c r="L22" i="6"/>
  <c r="M22" i="6" s="1"/>
  <c r="L111" i="6"/>
  <c r="M111" i="6" s="1"/>
  <c r="L115" i="6"/>
  <c r="M115" i="6" s="1"/>
  <c r="L32" i="6"/>
  <c r="M32" i="6" s="1"/>
  <c r="F52" i="6"/>
  <c r="H52" i="6" s="1"/>
  <c r="L116" i="6"/>
  <c r="M116" i="6" s="1"/>
  <c r="L125" i="6"/>
  <c r="M125" i="6" s="1"/>
  <c r="L50" i="6"/>
  <c r="M50" i="6" s="1"/>
  <c r="D105" i="6"/>
  <c r="G105" i="6" s="1"/>
  <c r="L97" i="6"/>
  <c r="M97" i="6" s="1"/>
  <c r="D60" i="6"/>
  <c r="F60" i="6" s="1"/>
  <c r="H60" i="6" s="1"/>
  <c r="G101" i="6"/>
  <c r="L30" i="6"/>
  <c r="M30" i="6" s="1"/>
  <c r="L69" i="6"/>
  <c r="M69" i="6" s="1"/>
  <c r="F4" i="6"/>
  <c r="H4" i="6" s="1"/>
  <c r="L123" i="6"/>
  <c r="M123" i="6" s="1"/>
  <c r="D50" i="6"/>
  <c r="G50" i="6" s="1"/>
  <c r="L28" i="6"/>
  <c r="M28" i="6" s="1"/>
  <c r="L120" i="6"/>
  <c r="M120" i="6" s="1"/>
  <c r="L27" i="6"/>
  <c r="M27" i="6" s="1"/>
  <c r="L121" i="6"/>
  <c r="M121" i="6" s="1"/>
  <c r="L100" i="6"/>
  <c r="M100" i="6" s="1"/>
  <c r="L7" i="6"/>
  <c r="M7" i="6" s="1"/>
  <c r="L71" i="6"/>
  <c r="M71" i="6" s="1"/>
  <c r="G1020" i="4"/>
  <c r="J1020" i="4" s="1"/>
  <c r="M1020" i="4" s="1"/>
  <c r="D1133" i="4" s="1"/>
  <c r="E1020" i="4"/>
  <c r="H1020" i="4" s="1"/>
  <c r="K1020" i="4" s="1"/>
  <c r="N1020" i="4" s="1"/>
  <c r="E1133" i="4" s="1"/>
  <c r="S280" i="2"/>
  <c r="S350" i="2"/>
  <c r="P350" i="2" s="1"/>
  <c r="P279" i="2"/>
  <c r="T277" i="2"/>
  <c r="W277" i="2" s="1"/>
  <c r="M21" i="2"/>
  <c r="F16" i="6"/>
  <c r="H16" i="6" s="1"/>
  <c r="G16" i="6"/>
  <c r="F107" i="6"/>
  <c r="G107" i="6"/>
  <c r="G125" i="1"/>
  <c r="L95" i="2"/>
  <c r="H125" i="1" s="1"/>
  <c r="T348" i="2"/>
  <c r="W348" i="2" s="1"/>
  <c r="M96" i="2"/>
  <c r="D1021" i="4"/>
  <c r="F1021" i="4"/>
  <c r="I1021" i="4" s="1"/>
  <c r="L1021" i="4" s="1"/>
  <c r="C1134" i="4" s="1"/>
  <c r="J1170" i="4" s="1"/>
  <c r="M1170" i="4" s="1"/>
  <c r="B1739" i="4" s="1"/>
  <c r="G55" i="1"/>
  <c r="L20" i="2"/>
  <c r="H55" i="1" s="1"/>
  <c r="B1022" i="4" s="1"/>
  <c r="C1022" i="4" s="1"/>
  <c r="D17" i="6"/>
  <c r="D108" i="6"/>
  <c r="D63" i="6"/>
  <c r="Q278" i="2"/>
  <c r="R278" i="2" s="1"/>
  <c r="X278" i="2"/>
  <c r="Q349" i="2"/>
  <c r="R349" i="2" s="1"/>
  <c r="X349" i="2"/>
  <c r="V277" i="2"/>
  <c r="U277" i="2"/>
  <c r="K21" i="2" s="1"/>
  <c r="G62" i="6"/>
  <c r="F62" i="6"/>
  <c r="H62" i="6" s="1"/>
  <c r="V348" i="2"/>
  <c r="U348" i="2"/>
  <c r="K96" i="2" s="1"/>
  <c r="F97" i="6"/>
  <c r="G97" i="6"/>
  <c r="I97" i="6" s="1"/>
  <c r="G10" i="6"/>
  <c r="F10" i="6"/>
  <c r="H10" i="6" s="1"/>
  <c r="G3" i="6"/>
  <c r="F3" i="6"/>
  <c r="G13" i="6"/>
  <c r="F13" i="6"/>
  <c r="H13" i="6" s="1"/>
  <c r="G59" i="6"/>
  <c r="F59" i="6"/>
  <c r="H59" i="6" s="1"/>
  <c r="F61" i="6"/>
  <c r="H61" i="6" s="1"/>
  <c r="G61" i="6"/>
  <c r="G6" i="6"/>
  <c r="F6" i="6"/>
  <c r="H6" i="6" s="1"/>
  <c r="F56" i="6"/>
  <c r="H56" i="6" s="1"/>
  <c r="G56" i="6"/>
  <c r="G9" i="6"/>
  <c r="F9" i="6"/>
  <c r="H9" i="6" s="1"/>
  <c r="G11" i="6"/>
  <c r="F11" i="6"/>
  <c r="H11" i="6" s="1"/>
  <c r="F102" i="6"/>
  <c r="G102" i="6"/>
  <c r="G58" i="6"/>
  <c r="F58" i="6"/>
  <c r="H58" i="6" s="1"/>
  <c r="F53" i="6"/>
  <c r="H53" i="6" s="1"/>
  <c r="G53" i="6"/>
  <c r="F7" i="6"/>
  <c r="H7" i="6" s="1"/>
  <c r="G7" i="6"/>
  <c r="L118" i="6"/>
  <c r="M118" i="6" s="1"/>
  <c r="L3" i="6"/>
  <c r="G104" i="6"/>
  <c r="F104" i="6"/>
  <c r="F106" i="6"/>
  <c r="G106" i="6"/>
  <c r="G15" i="6"/>
  <c r="F15" i="6"/>
  <c r="H15" i="6" s="1"/>
  <c r="F100" i="6"/>
  <c r="G100" i="6"/>
  <c r="G132" i="6"/>
  <c r="J96" i="6"/>
  <c r="G57" i="6"/>
  <c r="F57" i="6"/>
  <c r="H57" i="6" s="1"/>
  <c r="G14" i="6"/>
  <c r="F14" i="6"/>
  <c r="H14" i="6" s="1"/>
  <c r="F12" i="6"/>
  <c r="H12" i="6" s="1"/>
  <c r="G12" i="6"/>
  <c r="G103" i="6"/>
  <c r="F103" i="6"/>
  <c r="G98" i="6"/>
  <c r="F98" i="6"/>
  <c r="H101" i="6"/>
  <c r="G60" i="6" l="1"/>
  <c r="F50" i="6"/>
  <c r="H50" i="6" s="1"/>
  <c r="F105" i="6"/>
  <c r="M80" i="6"/>
  <c r="N85" i="6" s="1"/>
  <c r="N90" i="6" s="1"/>
  <c r="L80" i="6"/>
  <c r="I98" i="6"/>
  <c r="I99" i="6" s="1"/>
  <c r="I100" i="6" s="1"/>
  <c r="I101" i="6" s="1"/>
  <c r="I102" i="6" s="1"/>
  <c r="I103" i="6" s="1"/>
  <c r="I104" i="6" s="1"/>
  <c r="I105" i="6" s="1"/>
  <c r="I106" i="6" s="1"/>
  <c r="I107" i="6" s="1"/>
  <c r="L33" i="6"/>
  <c r="M3" i="6"/>
  <c r="M33" i="6" s="1"/>
  <c r="N39" i="6" s="1"/>
  <c r="N44" i="6" s="1"/>
  <c r="V349" i="2"/>
  <c r="U349" i="2"/>
  <c r="K97" i="2" s="1"/>
  <c r="G127" i="1" s="1"/>
  <c r="U278" i="2"/>
  <c r="K22" i="2" s="1"/>
  <c r="V278" i="2"/>
  <c r="F108" i="6"/>
  <c r="G108" i="6"/>
  <c r="F1022" i="4"/>
  <c r="I1022" i="4" s="1"/>
  <c r="L1022" i="4" s="1"/>
  <c r="C1135" i="4" s="1"/>
  <c r="J1171" i="4" s="1"/>
  <c r="M1171" i="4" s="1"/>
  <c r="B1740" i="4" s="1"/>
  <c r="D1022" i="4"/>
  <c r="D64" i="6"/>
  <c r="D109" i="6"/>
  <c r="D18" i="6"/>
  <c r="X279" i="2"/>
  <c r="Q279" i="2"/>
  <c r="R279" i="2" s="1"/>
  <c r="S351" i="2"/>
  <c r="P351" i="2" s="1"/>
  <c r="S281" i="2"/>
  <c r="P280" i="2"/>
  <c r="G126" i="1"/>
  <c r="L96" i="2"/>
  <c r="H126" i="1" s="1"/>
  <c r="G56" i="1"/>
  <c r="L21" i="2"/>
  <c r="H56" i="1" s="1"/>
  <c r="B1023" i="4" s="1"/>
  <c r="C1023" i="4" s="1"/>
  <c r="T349" i="2"/>
  <c r="W349" i="2" s="1"/>
  <c r="M97" i="2"/>
  <c r="M22" i="2"/>
  <c r="T278" i="2"/>
  <c r="W278" i="2" s="1"/>
  <c r="G63" i="6"/>
  <c r="F63" i="6"/>
  <c r="H63" i="6" s="1"/>
  <c r="G17" i="6"/>
  <c r="F17" i="6"/>
  <c r="H17" i="6" s="1"/>
  <c r="E1021" i="4"/>
  <c r="H1021" i="4" s="1"/>
  <c r="K1021" i="4" s="1"/>
  <c r="N1021" i="4" s="1"/>
  <c r="E1134" i="4" s="1"/>
  <c r="G1021" i="4"/>
  <c r="J1021" i="4" s="1"/>
  <c r="M1021" i="4" s="1"/>
  <c r="D1134" i="4" s="1"/>
  <c r="H107" i="6"/>
  <c r="Q350" i="2"/>
  <c r="R350" i="2" s="1"/>
  <c r="X350" i="2"/>
  <c r="G85" i="6"/>
  <c r="H106" i="6"/>
  <c r="H105" i="6"/>
  <c r="H102" i="6"/>
  <c r="G38" i="6"/>
  <c r="G39" i="6" s="1"/>
  <c r="H3" i="6"/>
  <c r="H97" i="6"/>
  <c r="J97" i="6" s="1"/>
  <c r="L126" i="6"/>
  <c r="H98" i="6"/>
  <c r="H103" i="6"/>
  <c r="H100" i="6"/>
  <c r="I50" i="6"/>
  <c r="I51" i="6" s="1"/>
  <c r="I52" i="6" s="1"/>
  <c r="I53" i="6" s="1"/>
  <c r="I54" i="6" s="1"/>
  <c r="I55" i="6" s="1"/>
  <c r="I56" i="6" s="1"/>
  <c r="I57" i="6" s="1"/>
  <c r="I58" i="6" s="1"/>
  <c r="I59" i="6" s="1"/>
  <c r="I60" i="6" s="1"/>
  <c r="I61" i="6" s="1"/>
  <c r="I62" i="6" s="1"/>
  <c r="H104" i="6"/>
  <c r="I3" i="6"/>
  <c r="I4" i="6" s="1"/>
  <c r="I5" i="6" s="1"/>
  <c r="I6" i="6" s="1"/>
  <c r="I7" i="6" s="1"/>
  <c r="I8" i="6" s="1"/>
  <c r="I9" i="6" s="1"/>
  <c r="I10" i="6" s="1"/>
  <c r="I11" i="6" s="1"/>
  <c r="I12" i="6" s="1"/>
  <c r="I13" i="6" s="1"/>
  <c r="I14" i="6" s="1"/>
  <c r="I15" i="6" s="1"/>
  <c r="I16" i="6" s="1"/>
  <c r="M126" i="6"/>
  <c r="M131" i="6" s="1"/>
  <c r="M136" i="6" l="1"/>
  <c r="B162" i="1" s="1"/>
  <c r="B157" i="1"/>
  <c r="I108" i="6"/>
  <c r="I17" i="6"/>
  <c r="I63" i="6"/>
  <c r="L97" i="2"/>
  <c r="H127" i="1" s="1"/>
  <c r="G86" i="6"/>
  <c r="B147" i="1" s="1"/>
  <c r="B146" i="1"/>
  <c r="J98" i="6"/>
  <c r="J99" i="6" s="1"/>
  <c r="J100" i="6" s="1"/>
  <c r="J101" i="6" s="1"/>
  <c r="J102" i="6" s="1"/>
  <c r="J103" i="6" s="1"/>
  <c r="J104" i="6" s="1"/>
  <c r="J105" i="6" s="1"/>
  <c r="J106" i="6" s="1"/>
  <c r="J107" i="6" s="1"/>
  <c r="M98" i="2"/>
  <c r="T350" i="2"/>
  <c r="W350" i="2" s="1"/>
  <c r="F1023" i="4"/>
  <c r="I1023" i="4" s="1"/>
  <c r="L1023" i="4" s="1"/>
  <c r="C1136" i="4" s="1"/>
  <c r="J1172" i="4" s="1"/>
  <c r="M1172" i="4" s="1"/>
  <c r="B1741" i="4" s="1"/>
  <c r="D1023" i="4"/>
  <c r="S282" i="2"/>
  <c r="S352" i="2"/>
  <c r="P352" i="2" s="1"/>
  <c r="P281" i="2"/>
  <c r="U279" i="2"/>
  <c r="K23" i="2" s="1"/>
  <c r="V279" i="2"/>
  <c r="F18" i="6"/>
  <c r="G18" i="6"/>
  <c r="I18" i="6" s="1"/>
  <c r="G64" i="6"/>
  <c r="F64" i="6"/>
  <c r="H64" i="6" s="1"/>
  <c r="D19" i="6"/>
  <c r="D110" i="6"/>
  <c r="D65" i="6"/>
  <c r="H108" i="6"/>
  <c r="L22" i="2"/>
  <c r="H57" i="1" s="1"/>
  <c r="B1024" i="4" s="1"/>
  <c r="C1024" i="4" s="1"/>
  <c r="G57" i="1"/>
  <c r="U350" i="2"/>
  <c r="K98" i="2" s="1"/>
  <c r="V350" i="2"/>
  <c r="Q280" i="2"/>
  <c r="R280" i="2" s="1"/>
  <c r="X280" i="2"/>
  <c r="X351" i="2"/>
  <c r="Q351" i="2"/>
  <c r="R351" i="2" s="1"/>
  <c r="T279" i="2"/>
  <c r="W279" i="2" s="1"/>
  <c r="M23" i="2"/>
  <c r="G109" i="6"/>
  <c r="F109" i="6"/>
  <c r="G1022" i="4"/>
  <c r="J1022" i="4" s="1"/>
  <c r="M1022" i="4" s="1"/>
  <c r="D1135" i="4" s="1"/>
  <c r="E1022" i="4"/>
  <c r="H1022" i="4" s="1"/>
  <c r="K1022" i="4" s="1"/>
  <c r="N1022" i="4" s="1"/>
  <c r="E1135" i="4" s="1"/>
  <c r="J3" i="6"/>
  <c r="J50" i="6"/>
  <c r="I64" i="6" l="1"/>
  <c r="I109" i="6"/>
  <c r="J108" i="6"/>
  <c r="H109" i="6"/>
  <c r="V351" i="2"/>
  <c r="U351" i="2"/>
  <c r="K99" i="2" s="1"/>
  <c r="T280" i="2"/>
  <c r="W280" i="2" s="1"/>
  <c r="M24" i="2"/>
  <c r="G65" i="6"/>
  <c r="I65" i="6" s="1"/>
  <c r="F65" i="6"/>
  <c r="G19" i="6"/>
  <c r="F19" i="6"/>
  <c r="H19" i="6" s="1"/>
  <c r="X281" i="2"/>
  <c r="Q281" i="2"/>
  <c r="R281" i="2" s="1"/>
  <c r="S353" i="2"/>
  <c r="P353" i="2" s="1"/>
  <c r="S283" i="2"/>
  <c r="P282" i="2"/>
  <c r="D66" i="6"/>
  <c r="D111" i="6"/>
  <c r="D20" i="6"/>
  <c r="M99" i="2"/>
  <c r="T351" i="2"/>
  <c r="W351" i="2" s="1"/>
  <c r="V280" i="2"/>
  <c r="U280" i="2"/>
  <c r="K24" i="2" s="1"/>
  <c r="L98" i="2"/>
  <c r="H128" i="1" s="1"/>
  <c r="G128" i="1"/>
  <c r="D1024" i="4"/>
  <c r="F1024" i="4"/>
  <c r="I1024" i="4" s="1"/>
  <c r="L1024" i="4" s="1"/>
  <c r="C1137" i="4" s="1"/>
  <c r="J1173" i="4" s="1"/>
  <c r="M1173" i="4" s="1"/>
  <c r="B1742" i="4" s="1"/>
  <c r="G110" i="6"/>
  <c r="F110" i="6"/>
  <c r="H18" i="6"/>
  <c r="L23" i="2"/>
  <c r="H58" i="1" s="1"/>
  <c r="B1025" i="4" s="1"/>
  <c r="C1025" i="4" s="1"/>
  <c r="G58" i="1"/>
  <c r="Q352" i="2"/>
  <c r="R352" i="2" s="1"/>
  <c r="X352" i="2"/>
  <c r="E1023" i="4"/>
  <c r="H1023" i="4" s="1"/>
  <c r="K1023" i="4" s="1"/>
  <c r="N1023" i="4" s="1"/>
  <c r="E1136" i="4" s="1"/>
  <c r="G1023" i="4"/>
  <c r="J1023" i="4" s="1"/>
  <c r="M1023" i="4" s="1"/>
  <c r="D1136" i="4" s="1"/>
  <c r="I19" i="6"/>
  <c r="J51" i="6"/>
  <c r="J52" i="6" s="1"/>
  <c r="J53" i="6" s="1"/>
  <c r="J54" i="6" s="1"/>
  <c r="J55" i="6" s="1"/>
  <c r="J56" i="6" s="1"/>
  <c r="J57" i="6" s="1"/>
  <c r="J58" i="6" s="1"/>
  <c r="J59" i="6" s="1"/>
  <c r="J60" i="6" s="1"/>
  <c r="J61" i="6" s="1"/>
  <c r="J62" i="6" s="1"/>
  <c r="J63" i="6" s="1"/>
  <c r="J64" i="6" s="1"/>
  <c r="J4" i="6"/>
  <c r="J5" i="6" s="1"/>
  <c r="J6" i="6" s="1"/>
  <c r="J7" i="6" s="1"/>
  <c r="J8" i="6" s="1"/>
  <c r="J9" i="6" s="1"/>
  <c r="J10" i="6" s="1"/>
  <c r="J11" i="6" s="1"/>
  <c r="J12" i="6" s="1"/>
  <c r="J13" i="6" s="1"/>
  <c r="J14" i="6" s="1"/>
  <c r="J15" i="6" s="1"/>
  <c r="J16" i="6" s="1"/>
  <c r="J17" i="6" s="1"/>
  <c r="J109" i="6" l="1"/>
  <c r="J18" i="6"/>
  <c r="V352" i="2"/>
  <c r="U352" i="2"/>
  <c r="K100" i="2" s="1"/>
  <c r="D1025" i="4"/>
  <c r="F1025" i="4"/>
  <c r="I1025" i="4" s="1"/>
  <c r="L1025" i="4" s="1"/>
  <c r="C1138" i="4" s="1"/>
  <c r="J1174" i="4" s="1"/>
  <c r="M1174" i="4" s="1"/>
  <c r="B1743" i="4" s="1"/>
  <c r="G1024" i="4"/>
  <c r="J1024" i="4" s="1"/>
  <c r="M1024" i="4" s="1"/>
  <c r="D1137" i="4" s="1"/>
  <c r="E1024" i="4"/>
  <c r="H1024" i="4" s="1"/>
  <c r="K1024" i="4" s="1"/>
  <c r="N1024" i="4" s="1"/>
  <c r="E1137" i="4" s="1"/>
  <c r="F20" i="6"/>
  <c r="G20" i="6"/>
  <c r="F66" i="6"/>
  <c r="H66" i="6" s="1"/>
  <c r="G66" i="6"/>
  <c r="I66" i="6" s="1"/>
  <c r="S284" i="2"/>
  <c r="S354" i="2"/>
  <c r="P354" i="2" s="1"/>
  <c r="P283" i="2"/>
  <c r="V281" i="2"/>
  <c r="U281" i="2"/>
  <c r="K25" i="2" s="1"/>
  <c r="H65" i="6"/>
  <c r="J65" i="6" s="1"/>
  <c r="L99" i="2"/>
  <c r="H129" i="1" s="1"/>
  <c r="G129" i="1"/>
  <c r="I110" i="6"/>
  <c r="T352" i="2"/>
  <c r="W352" i="2" s="1"/>
  <c r="M100" i="2"/>
  <c r="H110" i="6"/>
  <c r="D112" i="6"/>
  <c r="D67" i="6"/>
  <c r="D21" i="6"/>
  <c r="G59" i="1"/>
  <c r="L24" i="2"/>
  <c r="H59" i="1" s="1"/>
  <c r="B1026" i="4" s="1"/>
  <c r="C1026" i="4" s="1"/>
  <c r="G111" i="6"/>
  <c r="F111" i="6"/>
  <c r="X282" i="2"/>
  <c r="Q282" i="2"/>
  <c r="R282" i="2" s="1"/>
  <c r="X353" i="2"/>
  <c r="Q353" i="2"/>
  <c r="R353" i="2" s="1"/>
  <c r="M25" i="2"/>
  <c r="T281" i="2"/>
  <c r="W281" i="2" s="1"/>
  <c r="I20" i="6"/>
  <c r="J66" i="6" l="1"/>
  <c r="J19" i="6"/>
  <c r="T353" i="2"/>
  <c r="W353" i="2" s="1"/>
  <c r="M101" i="2"/>
  <c r="M26" i="2"/>
  <c r="T282" i="2"/>
  <c r="W282" i="2" s="1"/>
  <c r="F67" i="6"/>
  <c r="G67" i="6"/>
  <c r="I67" i="6" s="1"/>
  <c r="Q354" i="2"/>
  <c r="R354" i="2" s="1"/>
  <c r="X354" i="2"/>
  <c r="D68" i="6"/>
  <c r="D113" i="6"/>
  <c r="D22" i="6"/>
  <c r="G130" i="1"/>
  <c r="L100" i="2"/>
  <c r="H130" i="1" s="1"/>
  <c r="I111" i="6"/>
  <c r="J110" i="6"/>
  <c r="U353" i="2"/>
  <c r="K101" i="2" s="1"/>
  <c r="V353" i="2"/>
  <c r="V282" i="2"/>
  <c r="U282" i="2"/>
  <c r="K26" i="2" s="1"/>
  <c r="H111" i="6"/>
  <c r="F1026" i="4"/>
  <c r="I1026" i="4" s="1"/>
  <c r="L1026" i="4" s="1"/>
  <c r="C1139" i="4" s="1"/>
  <c r="J1175" i="4" s="1"/>
  <c r="M1175" i="4" s="1"/>
  <c r="B1744" i="4" s="1"/>
  <c r="D1026" i="4"/>
  <c r="F21" i="6"/>
  <c r="H21" i="6" s="1"/>
  <c r="G21" i="6"/>
  <c r="I21" i="6" s="1"/>
  <c r="F112" i="6"/>
  <c r="G112" i="6"/>
  <c r="L25" i="2"/>
  <c r="H60" i="1" s="1"/>
  <c r="B1027" i="4" s="1"/>
  <c r="C1027" i="4" s="1"/>
  <c r="G60" i="1"/>
  <c r="X283" i="2"/>
  <c r="Q283" i="2"/>
  <c r="R283" i="2" s="1"/>
  <c r="S285" i="2"/>
  <c r="S355" i="2"/>
  <c r="P355" i="2" s="1"/>
  <c r="P284" i="2"/>
  <c r="H20" i="6"/>
  <c r="E1025" i="4"/>
  <c r="H1025" i="4" s="1"/>
  <c r="K1025" i="4" s="1"/>
  <c r="N1025" i="4" s="1"/>
  <c r="E1138" i="4" s="1"/>
  <c r="G1025" i="4"/>
  <c r="J1025" i="4" s="1"/>
  <c r="M1025" i="4" s="1"/>
  <c r="D1138" i="4" s="1"/>
  <c r="Q355" i="2" l="1"/>
  <c r="R355" i="2" s="1"/>
  <c r="X355" i="2"/>
  <c r="U283" i="2"/>
  <c r="K27" i="2" s="1"/>
  <c r="V283" i="2"/>
  <c r="D69" i="6"/>
  <c r="D23" i="6"/>
  <c r="D114" i="6"/>
  <c r="L101" i="2"/>
  <c r="H131" i="1" s="1"/>
  <c r="G131" i="1"/>
  <c r="F22" i="6"/>
  <c r="G22" i="6"/>
  <c r="I22" i="6" s="1"/>
  <c r="G68" i="6"/>
  <c r="I68" i="6" s="1"/>
  <c r="F68" i="6"/>
  <c r="H68" i="6" s="1"/>
  <c r="V354" i="2"/>
  <c r="U354" i="2"/>
  <c r="K102" i="2" s="1"/>
  <c r="H67" i="6"/>
  <c r="I112" i="6"/>
  <c r="J20" i="6"/>
  <c r="J21" i="6" s="1"/>
  <c r="X284" i="2"/>
  <c r="Q284" i="2"/>
  <c r="R284" i="2" s="1"/>
  <c r="S286" i="2"/>
  <c r="S356" i="2"/>
  <c r="P356" i="2" s="1"/>
  <c r="P285" i="2"/>
  <c r="M27" i="2"/>
  <c r="T283" i="2"/>
  <c r="W283" i="2" s="1"/>
  <c r="F1027" i="4"/>
  <c r="I1027" i="4" s="1"/>
  <c r="L1027" i="4" s="1"/>
  <c r="C1140" i="4" s="1"/>
  <c r="J1176" i="4" s="1"/>
  <c r="M1176" i="4" s="1"/>
  <c r="B1745" i="4" s="1"/>
  <c r="D1027" i="4"/>
  <c r="H112" i="6"/>
  <c r="G1026" i="4"/>
  <c r="J1026" i="4" s="1"/>
  <c r="M1026" i="4" s="1"/>
  <c r="D1139" i="4" s="1"/>
  <c r="E1026" i="4"/>
  <c r="H1026" i="4" s="1"/>
  <c r="K1026" i="4" s="1"/>
  <c r="N1026" i="4" s="1"/>
  <c r="E1139" i="4" s="1"/>
  <c r="L26" i="2"/>
  <c r="H61" i="1" s="1"/>
  <c r="B1028" i="4" s="1"/>
  <c r="C1028" i="4" s="1"/>
  <c r="G61" i="1"/>
  <c r="G113" i="6"/>
  <c r="F113" i="6"/>
  <c r="T354" i="2"/>
  <c r="W354" i="2" s="1"/>
  <c r="M102" i="2"/>
  <c r="J111" i="6"/>
  <c r="J112" i="6" l="1"/>
  <c r="D1028" i="4"/>
  <c r="F1028" i="4"/>
  <c r="I1028" i="4" s="1"/>
  <c r="L1028" i="4" s="1"/>
  <c r="C1141" i="4" s="1"/>
  <c r="J1177" i="4" s="1"/>
  <c r="M1177" i="4" s="1"/>
  <c r="B1746" i="4" s="1"/>
  <c r="H113" i="6"/>
  <c r="G1027" i="4"/>
  <c r="J1027" i="4" s="1"/>
  <c r="M1027" i="4" s="1"/>
  <c r="D1140" i="4" s="1"/>
  <c r="E1027" i="4"/>
  <c r="H1027" i="4" s="1"/>
  <c r="K1027" i="4" s="1"/>
  <c r="N1027" i="4" s="1"/>
  <c r="E1140" i="4" s="1"/>
  <c r="X285" i="2"/>
  <c r="Q285" i="2"/>
  <c r="R285" i="2" s="1"/>
  <c r="S287" i="2"/>
  <c r="S357" i="2"/>
  <c r="P357" i="2" s="1"/>
  <c r="P286" i="2"/>
  <c r="T284" i="2"/>
  <c r="W284" i="2" s="1"/>
  <c r="M28" i="2"/>
  <c r="J67" i="6"/>
  <c r="H22" i="6"/>
  <c r="J22" i="6" s="1"/>
  <c r="F23" i="6"/>
  <c r="H23" i="6" s="1"/>
  <c r="G23" i="6"/>
  <c r="I23" i="6" s="1"/>
  <c r="M103" i="2"/>
  <c r="T355" i="2"/>
  <c r="W355" i="2" s="1"/>
  <c r="D24" i="6"/>
  <c r="D115" i="6"/>
  <c r="D70" i="6"/>
  <c r="Q356" i="2"/>
  <c r="R356" i="2" s="1"/>
  <c r="X356" i="2"/>
  <c r="V284" i="2"/>
  <c r="U284" i="2"/>
  <c r="K28" i="2" s="1"/>
  <c r="L102" i="2"/>
  <c r="H132" i="1" s="1"/>
  <c r="G132" i="1"/>
  <c r="G114" i="6"/>
  <c r="F114" i="6"/>
  <c r="F69" i="6"/>
  <c r="G69" i="6"/>
  <c r="L27" i="2"/>
  <c r="H62" i="1" s="1"/>
  <c r="B1029" i="4" s="1"/>
  <c r="C1029" i="4" s="1"/>
  <c r="G62" i="1"/>
  <c r="V355" i="2"/>
  <c r="U355" i="2"/>
  <c r="K103" i="2" s="1"/>
  <c r="I113" i="6"/>
  <c r="I114" i="6" s="1"/>
  <c r="J113" i="6" l="1"/>
  <c r="J68" i="6"/>
  <c r="J23" i="6"/>
  <c r="G133" i="1"/>
  <c r="L103" i="2"/>
  <c r="H133" i="1" s="1"/>
  <c r="H114" i="6"/>
  <c r="J114" i="6" s="1"/>
  <c r="L28" i="2"/>
  <c r="H63" i="1" s="1"/>
  <c r="B1030" i="4" s="1"/>
  <c r="C1030" i="4" s="1"/>
  <c r="G63" i="1"/>
  <c r="T356" i="2"/>
  <c r="W356" i="2" s="1"/>
  <c r="M104" i="2"/>
  <c r="G70" i="6"/>
  <c r="F70" i="6"/>
  <c r="H70" i="6" s="1"/>
  <c r="G24" i="6"/>
  <c r="I24" i="6" s="1"/>
  <c r="F24" i="6"/>
  <c r="X286" i="2"/>
  <c r="Q286" i="2"/>
  <c r="R286" i="2" s="1"/>
  <c r="S288" i="2"/>
  <c r="S358" i="2"/>
  <c r="P358" i="2" s="1"/>
  <c r="P287" i="2"/>
  <c r="T285" i="2"/>
  <c r="W285" i="2" s="1"/>
  <c r="M29" i="2"/>
  <c r="G1028" i="4"/>
  <c r="J1028" i="4" s="1"/>
  <c r="M1028" i="4" s="1"/>
  <c r="D1141" i="4" s="1"/>
  <c r="E1028" i="4"/>
  <c r="H1028" i="4" s="1"/>
  <c r="K1028" i="4" s="1"/>
  <c r="N1028" i="4" s="1"/>
  <c r="E1141" i="4" s="1"/>
  <c r="D1029" i="4"/>
  <c r="F1029" i="4"/>
  <c r="I1029" i="4" s="1"/>
  <c r="L1029" i="4" s="1"/>
  <c r="C1142" i="4" s="1"/>
  <c r="J1178" i="4" s="1"/>
  <c r="M1178" i="4" s="1"/>
  <c r="B1747" i="4" s="1"/>
  <c r="H69" i="6"/>
  <c r="J69" i="6" s="1"/>
  <c r="U356" i="2"/>
  <c r="K104" i="2" s="1"/>
  <c r="V356" i="2"/>
  <c r="F115" i="6"/>
  <c r="G115" i="6"/>
  <c r="I115" i="6" s="1"/>
  <c r="X357" i="2"/>
  <c r="Q357" i="2"/>
  <c r="R357" i="2" s="1"/>
  <c r="U285" i="2"/>
  <c r="K29" i="2" s="1"/>
  <c r="V285" i="2"/>
  <c r="D116" i="6"/>
  <c r="D71" i="6"/>
  <c r="D25" i="6"/>
  <c r="I69" i="6"/>
  <c r="J70" i="6" l="1"/>
  <c r="I70" i="6"/>
  <c r="V357" i="2"/>
  <c r="U357" i="2"/>
  <c r="K105" i="2" s="1"/>
  <c r="D72" i="6"/>
  <c r="D117" i="6"/>
  <c r="D26" i="6"/>
  <c r="X287" i="2"/>
  <c r="Q287" i="2"/>
  <c r="R287" i="2" s="1"/>
  <c r="S359" i="2"/>
  <c r="P359" i="2" s="1"/>
  <c r="S289" i="2"/>
  <c r="P288" i="2"/>
  <c r="M30" i="2"/>
  <c r="T286" i="2"/>
  <c r="W286" i="2" s="1"/>
  <c r="D1030" i="4"/>
  <c r="F1030" i="4"/>
  <c r="I1030" i="4" s="1"/>
  <c r="L1030" i="4" s="1"/>
  <c r="C1143" i="4" s="1"/>
  <c r="J1179" i="4" s="1"/>
  <c r="M1179" i="4" s="1"/>
  <c r="B1748" i="4" s="1"/>
  <c r="F71" i="6"/>
  <c r="G71" i="6"/>
  <c r="G25" i="6"/>
  <c r="I25" i="6" s="1"/>
  <c r="F25" i="6"/>
  <c r="H25" i="6" s="1"/>
  <c r="F116" i="6"/>
  <c r="G116" i="6"/>
  <c r="I116" i="6" s="1"/>
  <c r="G64" i="1"/>
  <c r="L29" i="2"/>
  <c r="H64" i="1" s="1"/>
  <c r="B1031" i="4" s="1"/>
  <c r="C1031" i="4" s="1"/>
  <c r="M105" i="2"/>
  <c r="T357" i="2"/>
  <c r="W357" i="2" s="1"/>
  <c r="H115" i="6"/>
  <c r="J115" i="6" s="1"/>
  <c r="L104" i="2"/>
  <c r="H134" i="1" s="1"/>
  <c r="G134" i="1"/>
  <c r="G1029" i="4"/>
  <c r="J1029" i="4" s="1"/>
  <c r="M1029" i="4" s="1"/>
  <c r="D1142" i="4" s="1"/>
  <c r="E1029" i="4"/>
  <c r="H1029" i="4" s="1"/>
  <c r="K1029" i="4" s="1"/>
  <c r="N1029" i="4" s="1"/>
  <c r="E1142" i="4" s="1"/>
  <c r="Q358" i="2"/>
  <c r="R358" i="2" s="1"/>
  <c r="X358" i="2"/>
  <c r="U286" i="2"/>
  <c r="K30" i="2" s="1"/>
  <c r="V286" i="2"/>
  <c r="H24" i="6"/>
  <c r="I71" i="6" l="1"/>
  <c r="D1031" i="4"/>
  <c r="F1031" i="4"/>
  <c r="I1031" i="4" s="1"/>
  <c r="L1031" i="4" s="1"/>
  <c r="C1144" i="4" s="1"/>
  <c r="J1180" i="4" s="1"/>
  <c r="M1180" i="4" s="1"/>
  <c r="B1749" i="4" s="1"/>
  <c r="H71" i="6"/>
  <c r="D73" i="6"/>
  <c r="D118" i="6"/>
  <c r="D27" i="6"/>
  <c r="X288" i="2"/>
  <c r="Q288" i="2"/>
  <c r="R288" i="2" s="1"/>
  <c r="X359" i="2"/>
  <c r="Q359" i="2"/>
  <c r="R359" i="2" s="1"/>
  <c r="T287" i="2"/>
  <c r="W287" i="2" s="1"/>
  <c r="M31" i="2"/>
  <c r="F117" i="6"/>
  <c r="G117" i="6"/>
  <c r="I117" i="6" s="1"/>
  <c r="G135" i="1"/>
  <c r="L105" i="2"/>
  <c r="H135" i="1" s="1"/>
  <c r="M106" i="2"/>
  <c r="T358" i="2"/>
  <c r="W358" i="2" s="1"/>
  <c r="J24" i="6"/>
  <c r="L30" i="2"/>
  <c r="H65" i="1" s="1"/>
  <c r="B1032" i="4" s="1"/>
  <c r="C1032" i="4" s="1"/>
  <c r="G65" i="1"/>
  <c r="U358" i="2"/>
  <c r="K106" i="2" s="1"/>
  <c r="V358" i="2"/>
  <c r="H116" i="6"/>
  <c r="J116" i="6" s="1"/>
  <c r="G1030" i="4"/>
  <c r="J1030" i="4" s="1"/>
  <c r="M1030" i="4" s="1"/>
  <c r="D1143" i="4" s="1"/>
  <c r="E1030" i="4"/>
  <c r="H1030" i="4" s="1"/>
  <c r="K1030" i="4" s="1"/>
  <c r="N1030" i="4" s="1"/>
  <c r="E1143" i="4" s="1"/>
  <c r="S290" i="2"/>
  <c r="S360" i="2"/>
  <c r="P360" i="2" s="1"/>
  <c r="P289" i="2"/>
  <c r="U287" i="2"/>
  <c r="K31" i="2" s="1"/>
  <c r="V287" i="2"/>
  <c r="G26" i="6"/>
  <c r="I26" i="6" s="1"/>
  <c r="F26" i="6"/>
  <c r="F72" i="6"/>
  <c r="H72" i="6" s="1"/>
  <c r="G72" i="6"/>
  <c r="I72" i="6" s="1"/>
  <c r="J25" i="6" l="1"/>
  <c r="L31" i="2"/>
  <c r="H66" i="1" s="1"/>
  <c r="B1033" i="4" s="1"/>
  <c r="C1033" i="4" s="1"/>
  <c r="G66" i="1"/>
  <c r="G136" i="1"/>
  <c r="L106" i="2"/>
  <c r="H136" i="1" s="1"/>
  <c r="D1032" i="4"/>
  <c r="F1032" i="4"/>
  <c r="I1032" i="4" s="1"/>
  <c r="L1032" i="4" s="1"/>
  <c r="C1145" i="4" s="1"/>
  <c r="J1181" i="4" s="1"/>
  <c r="M1181" i="4" s="1"/>
  <c r="B1750" i="4" s="1"/>
  <c r="H117" i="6"/>
  <c r="J117" i="6" s="1"/>
  <c r="M107" i="2"/>
  <c r="T359" i="2"/>
  <c r="W359" i="2" s="1"/>
  <c r="T288" i="2"/>
  <c r="W288" i="2" s="1"/>
  <c r="M32" i="2"/>
  <c r="G118" i="6"/>
  <c r="I118" i="6" s="1"/>
  <c r="F118" i="6"/>
  <c r="D28" i="6"/>
  <c r="D119" i="6"/>
  <c r="D74" i="6"/>
  <c r="Q360" i="2"/>
  <c r="R360" i="2" s="1"/>
  <c r="X360" i="2"/>
  <c r="H26" i="6"/>
  <c r="J26" i="6" s="1"/>
  <c r="Q289" i="2"/>
  <c r="R289" i="2" s="1"/>
  <c r="X289" i="2"/>
  <c r="S291" i="2"/>
  <c r="S361" i="2"/>
  <c r="P361" i="2" s="1"/>
  <c r="P290" i="2"/>
  <c r="U359" i="2"/>
  <c r="K107" i="2" s="1"/>
  <c r="V359" i="2"/>
  <c r="U288" i="2"/>
  <c r="K32" i="2" s="1"/>
  <c r="V288" i="2"/>
  <c r="G27" i="6"/>
  <c r="I27" i="6" s="1"/>
  <c r="F27" i="6"/>
  <c r="H27" i="6" s="1"/>
  <c r="F73" i="6"/>
  <c r="H73" i="6" s="1"/>
  <c r="G73" i="6"/>
  <c r="I73" i="6" s="1"/>
  <c r="J71" i="6"/>
  <c r="G1031" i="4"/>
  <c r="J1031" i="4" s="1"/>
  <c r="M1031" i="4" s="1"/>
  <c r="D1144" i="4" s="1"/>
  <c r="E1031" i="4"/>
  <c r="H1031" i="4" s="1"/>
  <c r="K1031" i="4" s="1"/>
  <c r="N1031" i="4" s="1"/>
  <c r="E1144" i="4" s="1"/>
  <c r="J72" i="6" l="1"/>
  <c r="J27" i="6"/>
  <c r="L107" i="2"/>
  <c r="H137" i="1" s="1"/>
  <c r="G137" i="1"/>
  <c r="Q361" i="2"/>
  <c r="R361" i="2" s="1"/>
  <c r="X361" i="2"/>
  <c r="M33" i="2"/>
  <c r="T289" i="2"/>
  <c r="W289" i="2" s="1"/>
  <c r="T360" i="2"/>
  <c r="W360" i="2" s="1"/>
  <c r="M108" i="2"/>
  <c r="F74" i="6"/>
  <c r="H74" i="6" s="1"/>
  <c r="G74" i="6"/>
  <c r="I74" i="6" s="1"/>
  <c r="F28" i="6"/>
  <c r="H28" i="6" s="1"/>
  <c r="J28" i="6" s="1"/>
  <c r="G28" i="6"/>
  <c r="I28" i="6" s="1"/>
  <c r="H118" i="6"/>
  <c r="J118" i="6" s="1"/>
  <c r="D75" i="6"/>
  <c r="D120" i="6"/>
  <c r="D29" i="6"/>
  <c r="G67" i="1"/>
  <c r="L32" i="2"/>
  <c r="H67" i="1" s="1"/>
  <c r="B1034" i="4" s="1"/>
  <c r="C1034" i="4" s="1"/>
  <c r="Q290" i="2"/>
  <c r="R290" i="2" s="1"/>
  <c r="X290" i="2"/>
  <c r="S362" i="2"/>
  <c r="P362" i="2" s="1"/>
  <c r="P291" i="2"/>
  <c r="U289" i="2"/>
  <c r="K33" i="2" s="1"/>
  <c r="V289" i="2"/>
  <c r="V360" i="2"/>
  <c r="U360" i="2"/>
  <c r="K108" i="2" s="1"/>
  <c r="F119" i="6"/>
  <c r="G119" i="6"/>
  <c r="I119" i="6" s="1"/>
  <c r="G1032" i="4"/>
  <c r="J1032" i="4" s="1"/>
  <c r="M1032" i="4" s="1"/>
  <c r="D1145" i="4" s="1"/>
  <c r="E1032" i="4"/>
  <c r="H1032" i="4" s="1"/>
  <c r="K1032" i="4" s="1"/>
  <c r="N1032" i="4" s="1"/>
  <c r="E1145" i="4" s="1"/>
  <c r="D1033" i="4"/>
  <c r="F1033" i="4"/>
  <c r="I1033" i="4" s="1"/>
  <c r="L1033" i="4" s="1"/>
  <c r="C1146" i="4" s="1"/>
  <c r="J1182" i="4" s="1"/>
  <c r="M1182" i="4" s="1"/>
  <c r="B1751" i="4" s="1"/>
  <c r="J73" i="6"/>
  <c r="J74" i="6" l="1"/>
  <c r="D121" i="6"/>
  <c r="D30" i="6"/>
  <c r="D76" i="6"/>
  <c r="L108" i="2"/>
  <c r="H138" i="1" s="1"/>
  <c r="G138" i="1"/>
  <c r="Q291" i="2"/>
  <c r="R291" i="2" s="1"/>
  <c r="X291" i="2"/>
  <c r="T290" i="2"/>
  <c r="W290" i="2" s="1"/>
  <c r="M34" i="2"/>
  <c r="F1034" i="4"/>
  <c r="I1034" i="4" s="1"/>
  <c r="L1034" i="4" s="1"/>
  <c r="C1147" i="4" s="1"/>
  <c r="J1183" i="4" s="1"/>
  <c r="M1183" i="4" s="1"/>
  <c r="B1752" i="4" s="1"/>
  <c r="D1034" i="4"/>
  <c r="G29" i="6"/>
  <c r="I29" i="6" s="1"/>
  <c r="F29" i="6"/>
  <c r="H29" i="6" s="1"/>
  <c r="J29" i="6" s="1"/>
  <c r="G75" i="6"/>
  <c r="I75" i="6" s="1"/>
  <c r="F75" i="6"/>
  <c r="H75" i="6" s="1"/>
  <c r="M109" i="2"/>
  <c r="T361" i="2"/>
  <c r="W361" i="2" s="1"/>
  <c r="G1033" i="4"/>
  <c r="J1033" i="4" s="1"/>
  <c r="M1033" i="4" s="1"/>
  <c r="D1146" i="4" s="1"/>
  <c r="E1033" i="4"/>
  <c r="H1033" i="4" s="1"/>
  <c r="K1033" i="4" s="1"/>
  <c r="N1033" i="4" s="1"/>
  <c r="E1146" i="4" s="1"/>
  <c r="H119" i="6"/>
  <c r="J119" i="6" s="1"/>
  <c r="G68" i="1"/>
  <c r="L33" i="2"/>
  <c r="H68" i="1" s="1"/>
  <c r="B1035" i="4" s="1"/>
  <c r="C1035" i="4" s="1"/>
  <c r="X362" i="2"/>
  <c r="Q362" i="2"/>
  <c r="R362" i="2" s="1"/>
  <c r="U290" i="2"/>
  <c r="K34" i="2" s="1"/>
  <c r="V290" i="2"/>
  <c r="G120" i="6"/>
  <c r="I120" i="6" s="1"/>
  <c r="F120" i="6"/>
  <c r="U361" i="2"/>
  <c r="K109" i="2" s="1"/>
  <c r="V361" i="2"/>
  <c r="J75" i="6" l="1"/>
  <c r="H120" i="6"/>
  <c r="U362" i="2"/>
  <c r="K110" i="2" s="1"/>
  <c r="V362" i="2"/>
  <c r="D1035" i="4"/>
  <c r="F1035" i="4"/>
  <c r="I1035" i="4" s="1"/>
  <c r="L1035" i="4" s="1"/>
  <c r="C1148" i="4" s="1"/>
  <c r="J1184" i="4" s="1"/>
  <c r="M1184" i="4" s="1"/>
  <c r="B1753" i="4" s="1"/>
  <c r="D122" i="6"/>
  <c r="D31" i="6"/>
  <c r="D77" i="6"/>
  <c r="U291" i="2"/>
  <c r="K35" i="2" s="1"/>
  <c r="V291" i="2"/>
  <c r="F30" i="6"/>
  <c r="H30" i="6" s="1"/>
  <c r="G30" i="6"/>
  <c r="I30" i="6" s="1"/>
  <c r="L109" i="2"/>
  <c r="H139" i="1" s="1"/>
  <c r="G139" i="1"/>
  <c r="G69" i="1"/>
  <c r="L34" i="2"/>
  <c r="H69" i="1" s="1"/>
  <c r="B1036" i="4" s="1"/>
  <c r="C1036" i="4" s="1"/>
  <c r="M110" i="2"/>
  <c r="T362" i="2"/>
  <c r="W362" i="2" s="1"/>
  <c r="G1034" i="4"/>
  <c r="J1034" i="4" s="1"/>
  <c r="M1034" i="4" s="1"/>
  <c r="D1147" i="4" s="1"/>
  <c r="E1034" i="4"/>
  <c r="H1034" i="4" s="1"/>
  <c r="K1034" i="4" s="1"/>
  <c r="N1034" i="4" s="1"/>
  <c r="E1147" i="4" s="1"/>
  <c r="T291" i="2"/>
  <c r="W291" i="2" s="1"/>
  <c r="M35" i="2"/>
  <c r="F76" i="6"/>
  <c r="H76" i="6" s="1"/>
  <c r="G76" i="6"/>
  <c r="I76" i="6" s="1"/>
  <c r="F121" i="6"/>
  <c r="G121" i="6"/>
  <c r="I121" i="6" s="1"/>
  <c r="J30" i="6"/>
  <c r="J120" i="6"/>
  <c r="L35" i="2" l="1"/>
  <c r="H70" i="1" s="1"/>
  <c r="B1037" i="4" s="1"/>
  <c r="C1037" i="4" s="1"/>
  <c r="G70" i="1"/>
  <c r="F31" i="6"/>
  <c r="H31" i="6" s="1"/>
  <c r="G31" i="6"/>
  <c r="I31" i="6" s="1"/>
  <c r="D32" i="6"/>
  <c r="D78" i="6"/>
  <c r="D123" i="6"/>
  <c r="H121" i="6"/>
  <c r="J121" i="6" s="1"/>
  <c r="D1036" i="4"/>
  <c r="F1036" i="4"/>
  <c r="I1036" i="4" s="1"/>
  <c r="L1036" i="4" s="1"/>
  <c r="C1149" i="4" s="1"/>
  <c r="J1185" i="4" s="1"/>
  <c r="M1185" i="4" s="1"/>
  <c r="B1754" i="4" s="1"/>
  <c r="F77" i="6"/>
  <c r="H77" i="6" s="1"/>
  <c r="G77" i="6"/>
  <c r="I77" i="6" s="1"/>
  <c r="F122" i="6"/>
  <c r="G122" i="6"/>
  <c r="I122" i="6" s="1"/>
  <c r="E1035" i="4"/>
  <c r="H1035" i="4" s="1"/>
  <c r="K1035" i="4" s="1"/>
  <c r="N1035" i="4" s="1"/>
  <c r="E1148" i="4" s="1"/>
  <c r="G1035" i="4"/>
  <c r="J1035" i="4" s="1"/>
  <c r="M1035" i="4" s="1"/>
  <c r="D1148" i="4" s="1"/>
  <c r="L110" i="2"/>
  <c r="H140" i="1" s="1"/>
  <c r="G140" i="1"/>
  <c r="J76" i="6"/>
  <c r="J77" i="6" l="1"/>
  <c r="H122" i="6"/>
  <c r="J122" i="6" s="1"/>
  <c r="G1036" i="4"/>
  <c r="J1036" i="4" s="1"/>
  <c r="M1036" i="4" s="1"/>
  <c r="D1149" i="4" s="1"/>
  <c r="E1036" i="4"/>
  <c r="H1036" i="4" s="1"/>
  <c r="K1036" i="4" s="1"/>
  <c r="N1036" i="4" s="1"/>
  <c r="E1149" i="4" s="1"/>
  <c r="F78" i="6"/>
  <c r="H78" i="6" s="1"/>
  <c r="G78" i="6"/>
  <c r="I78" i="6" s="1"/>
  <c r="J31" i="6"/>
  <c r="D79" i="6"/>
  <c r="D124" i="6"/>
  <c r="F123" i="6"/>
  <c r="G123" i="6"/>
  <c r="I123" i="6" s="1"/>
  <c r="F32" i="6"/>
  <c r="G32" i="6"/>
  <c r="D33" i="6"/>
  <c r="D1037" i="4"/>
  <c r="F1037" i="4"/>
  <c r="I1037" i="4" s="1"/>
  <c r="L1037" i="4" s="1"/>
  <c r="C1150" i="4" s="1"/>
  <c r="J1186" i="4" s="1"/>
  <c r="M1186" i="4" s="1"/>
  <c r="B1755" i="4" s="1"/>
  <c r="D125" i="6" s="1"/>
  <c r="G124" i="6" l="1"/>
  <c r="I124" i="6" s="1"/>
  <c r="F124" i="6"/>
  <c r="F125" i="6"/>
  <c r="G125" i="6"/>
  <c r="H32" i="6"/>
  <c r="F33" i="6"/>
  <c r="G1037" i="4"/>
  <c r="J1037" i="4" s="1"/>
  <c r="M1037" i="4" s="1"/>
  <c r="D1150" i="4" s="1"/>
  <c r="E1037" i="4"/>
  <c r="H1037" i="4" s="1"/>
  <c r="K1037" i="4" s="1"/>
  <c r="N1037" i="4" s="1"/>
  <c r="E1150" i="4" s="1"/>
  <c r="G36" i="6"/>
  <c r="G33" i="6"/>
  <c r="H123" i="6"/>
  <c r="G79" i="6"/>
  <c r="F79" i="6"/>
  <c r="D80" i="6"/>
  <c r="D126" i="6"/>
  <c r="J78" i="6"/>
  <c r="G87" i="6" s="1"/>
  <c r="I32" i="6"/>
  <c r="G37" i="6" l="1"/>
  <c r="N38" i="6"/>
  <c r="N43" i="6" s="1"/>
  <c r="I125" i="6"/>
  <c r="H33" i="6"/>
  <c r="H125" i="6"/>
  <c r="J32" i="6"/>
  <c r="G40" i="6" s="1"/>
  <c r="G83" i="6"/>
  <c r="G80" i="6"/>
  <c r="H79" i="6"/>
  <c r="F80" i="6"/>
  <c r="G126" i="6"/>
  <c r="G129" i="6"/>
  <c r="H124" i="6"/>
  <c r="F126" i="6"/>
  <c r="J79" i="6"/>
  <c r="J123" i="6"/>
  <c r="I79" i="6"/>
  <c r="B144" i="1" l="1"/>
  <c r="B150" i="1" s="1"/>
  <c r="J124" i="6"/>
  <c r="J125" i="6" s="1"/>
  <c r="G133" i="6"/>
  <c r="C149" i="1" s="1"/>
  <c r="G84" i="6"/>
  <c r="N84" i="6"/>
  <c r="N89" i="6" s="1"/>
  <c r="G130" i="6"/>
  <c r="B145" i="1" s="1"/>
  <c r="B152" i="1" s="1"/>
  <c r="M130" i="6"/>
  <c r="H126" i="6"/>
  <c r="H80" i="6"/>
  <c r="M234" i="6"/>
  <c r="N234" i="6" s="1"/>
  <c r="F35" i="6"/>
  <c r="G35" i="6" s="1"/>
  <c r="M135" i="6" l="1"/>
  <c r="B161" i="1" s="1"/>
  <c r="B156" i="1"/>
  <c r="M235" i="6"/>
  <c r="N235" i="6" s="1"/>
  <c r="F82" i="6"/>
  <c r="G82" i="6" s="1"/>
  <c r="M236" i="6"/>
  <c r="N236" i="6" s="1"/>
  <c r="F128" i="6"/>
  <c r="G128" i="6" s="1"/>
  <c r="B143" i="1" s="1"/>
  <c r="B151" i="1" s="1"/>
  <c r="B160" i="1"/>
  <c r="L248" i="2"/>
  <c r="G304" i="2" s="1"/>
  <c r="K304" i="2" s="1"/>
  <c r="M304" i="2" s="1"/>
  <c r="L247" i="2"/>
  <c r="G296" i="2" s="1"/>
  <c r="N296" i="2" s="1"/>
  <c r="A237" i="3"/>
  <c r="A238" i="3"/>
  <c r="A239" i="3" s="1"/>
  <c r="A240" i="3" s="1"/>
  <c r="A241" i="3" s="1"/>
  <c r="A242" i="3" s="1"/>
  <c r="A243" i="3" s="1"/>
  <c r="A244" i="3" s="1"/>
  <c r="A245" i="3" s="1"/>
  <c r="A246" i="3" s="1"/>
  <c r="A247" i="3" s="1"/>
  <c r="A248" i="3" s="1"/>
  <c r="A249" i="3" s="1"/>
  <c r="A250" i="3" s="1"/>
  <c r="A251" i="3" s="1"/>
  <c r="A252" i="3" s="1"/>
  <c r="A253" i="3" s="1"/>
  <c r="H238" i="3"/>
  <c r="A239" i="2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127" i="7"/>
  <c r="A128" i="7" s="1"/>
  <c r="A129" i="7" s="1"/>
  <c r="A130" i="7" s="1"/>
  <c r="A131" i="7" s="1"/>
  <c r="A132" i="7" s="1"/>
  <c r="A133" i="7" s="1"/>
  <c r="A134" i="7" s="1"/>
  <c r="A135" i="7" s="1"/>
  <c r="A136" i="7" s="1"/>
  <c r="A137" i="7" s="1"/>
  <c r="A138" i="7" s="1"/>
  <c r="A139" i="7" s="1"/>
  <c r="A140" i="7" s="1"/>
  <c r="A141" i="7" s="1"/>
  <c r="A142" i="7" s="1"/>
  <c r="A143" i="7" s="1"/>
  <c r="A144" i="7" s="1"/>
  <c r="G294" i="2" l="1"/>
  <c r="X294" i="2" s="1"/>
  <c r="M40" i="2" s="1"/>
  <c r="G295" i="2"/>
  <c r="X295" i="2" s="1"/>
  <c r="G307" i="2"/>
  <c r="K307" i="2" s="1"/>
  <c r="M307" i="2" s="1"/>
  <c r="O307" i="2" s="1"/>
  <c r="R307" i="2" s="1"/>
  <c r="G300" i="2"/>
  <c r="K300" i="2" s="1"/>
  <c r="M300" i="2" s="1"/>
  <c r="G309" i="2"/>
  <c r="K309" i="2" s="1"/>
  <c r="M309" i="2" s="1"/>
  <c r="O309" i="2" s="1"/>
  <c r="R309" i="2" s="1"/>
  <c r="V309" i="2" s="1"/>
  <c r="G306" i="2"/>
  <c r="N306" i="2" s="1"/>
  <c r="G297" i="2"/>
  <c r="N297" i="2" s="1"/>
  <c r="G303" i="2"/>
  <c r="X303" i="2" s="1"/>
  <c r="T303" i="2" s="1"/>
  <c r="W303" i="2" s="1"/>
  <c r="G302" i="2"/>
  <c r="K302" i="2" s="1"/>
  <c r="M302" i="2" s="1"/>
  <c r="G298" i="2"/>
  <c r="K298" i="2" s="1"/>
  <c r="M298" i="2" s="1"/>
  <c r="O298" i="2" s="1"/>
  <c r="R298" i="2" s="1"/>
  <c r="U298" i="2" s="1"/>
  <c r="K44" i="2" s="1"/>
  <c r="G299" i="2"/>
  <c r="X299" i="2" s="1"/>
  <c r="M45" i="2" s="1"/>
  <c r="G305" i="2"/>
  <c r="K305" i="2" s="1"/>
  <c r="M305" i="2" s="1"/>
  <c r="O305" i="2" s="1"/>
  <c r="R305" i="2" s="1"/>
  <c r="U305" i="2" s="1"/>
  <c r="K51" i="2" s="1"/>
  <c r="G301" i="2"/>
  <c r="K301" i="2" s="1"/>
  <c r="M301" i="2" s="1"/>
  <c r="O301" i="2" s="1"/>
  <c r="R301" i="2" s="1"/>
  <c r="U301" i="2" s="1"/>
  <c r="K47" i="2" s="1"/>
  <c r="G308" i="2"/>
  <c r="N308" i="2" s="1"/>
  <c r="N307" i="2"/>
  <c r="X307" i="2"/>
  <c r="T307" i="2" s="1"/>
  <c r="W307" i="2" s="1"/>
  <c r="M41" i="2"/>
  <c r="T295" i="2"/>
  <c r="W295" i="2" s="1"/>
  <c r="N295" i="2"/>
  <c r="N298" i="2"/>
  <c r="V307" i="2"/>
  <c r="U307" i="2"/>
  <c r="K53" i="2" s="1"/>
  <c r="N304" i="2"/>
  <c r="X304" i="2"/>
  <c r="O304" i="2"/>
  <c r="R304" i="2" s="1"/>
  <c r="K295" i="2"/>
  <c r="M295" i="2" s="1"/>
  <c r="O295" i="2" s="1"/>
  <c r="R295" i="2" s="1"/>
  <c r="K296" i="2"/>
  <c r="M296" i="2" s="1"/>
  <c r="O296" i="2" s="1"/>
  <c r="R296" i="2" s="1"/>
  <c r="X296" i="2"/>
  <c r="X300" i="2" l="1"/>
  <c r="N301" i="2"/>
  <c r="T294" i="2"/>
  <c r="W294" i="2" s="1"/>
  <c r="O302" i="2"/>
  <c r="R302" i="2" s="1"/>
  <c r="V302" i="2" s="1"/>
  <c r="N294" i="2"/>
  <c r="X306" i="2"/>
  <c r="M52" i="2" s="1"/>
  <c r="O300" i="2"/>
  <c r="R300" i="2" s="1"/>
  <c r="V300" i="2" s="1"/>
  <c r="M49" i="2"/>
  <c r="K306" i="2"/>
  <c r="M306" i="2" s="1"/>
  <c r="O306" i="2" s="1"/>
  <c r="R306" i="2" s="1"/>
  <c r="K294" i="2"/>
  <c r="M294" i="2" s="1"/>
  <c r="O294" i="2" s="1"/>
  <c r="R294" i="2" s="1"/>
  <c r="V294" i="2" s="1"/>
  <c r="V305" i="2"/>
  <c r="N305" i="2"/>
  <c r="X305" i="2"/>
  <c r="M51" i="2" s="1"/>
  <c r="L51" i="2" s="1"/>
  <c r="X308" i="2"/>
  <c r="M54" i="2" s="1"/>
  <c r="K303" i="2"/>
  <c r="M303" i="2" s="1"/>
  <c r="O303" i="2" s="1"/>
  <c r="R303" i="2" s="1"/>
  <c r="V303" i="2" s="1"/>
  <c r="V301" i="2"/>
  <c r="N300" i="2"/>
  <c r="V298" i="2"/>
  <c r="T299" i="2"/>
  <c r="W299" i="2" s="1"/>
  <c r="N302" i="2"/>
  <c r="N303" i="2"/>
  <c r="X298" i="2"/>
  <c r="M44" i="2" s="1"/>
  <c r="L44" i="2" s="1"/>
  <c r="N299" i="2"/>
  <c r="X302" i="2"/>
  <c r="M48" i="2" s="1"/>
  <c r="N309" i="2"/>
  <c r="X309" i="2"/>
  <c r="K299" i="2"/>
  <c r="M299" i="2" s="1"/>
  <c r="O299" i="2" s="1"/>
  <c r="R299" i="2" s="1"/>
  <c r="U299" i="2" s="1"/>
  <c r="K45" i="2" s="1"/>
  <c r="L45" i="2" s="1"/>
  <c r="K308" i="2"/>
  <c r="M308" i="2" s="1"/>
  <c r="O308" i="2" s="1"/>
  <c r="R308" i="2" s="1"/>
  <c r="U308" i="2" s="1"/>
  <c r="K54" i="2" s="1"/>
  <c r="X301" i="2"/>
  <c r="T301" i="2" s="1"/>
  <c r="W301" i="2" s="1"/>
  <c r="X297" i="2"/>
  <c r="T297" i="2" s="1"/>
  <c r="W297" i="2" s="1"/>
  <c r="K297" i="2"/>
  <c r="M297" i="2" s="1"/>
  <c r="O297" i="2" s="1"/>
  <c r="R297" i="2" s="1"/>
  <c r="U309" i="2"/>
  <c r="K55" i="2" s="1"/>
  <c r="M53" i="2"/>
  <c r="L53" i="2" s="1"/>
  <c r="U306" i="2"/>
  <c r="K52" i="2" s="1"/>
  <c r="V306" i="2"/>
  <c r="U296" i="2"/>
  <c r="K42" i="2" s="1"/>
  <c r="V296" i="2"/>
  <c r="V295" i="2"/>
  <c r="U295" i="2"/>
  <c r="K41" i="2" s="1"/>
  <c r="L41" i="2" s="1"/>
  <c r="U300" i="2"/>
  <c r="K46" i="2" s="1"/>
  <c r="U304" i="2"/>
  <c r="K50" i="2" s="1"/>
  <c r="V304" i="2"/>
  <c r="T304" i="2"/>
  <c r="W304" i="2" s="1"/>
  <c r="M50" i="2"/>
  <c r="M46" i="2"/>
  <c r="T300" i="2"/>
  <c r="W300" i="2" s="1"/>
  <c r="M42" i="2"/>
  <c r="T296" i="2"/>
  <c r="W296" i="2" s="1"/>
  <c r="U302" i="2" l="1"/>
  <c r="K48" i="2" s="1"/>
  <c r="L48" i="2" s="1"/>
  <c r="L54" i="2"/>
  <c r="T305" i="2"/>
  <c r="W305" i="2" s="1"/>
  <c r="U294" i="2"/>
  <c r="K40" i="2" s="1"/>
  <c r="L40" i="2" s="1"/>
  <c r="T306" i="2"/>
  <c r="W306" i="2" s="1"/>
  <c r="U303" i="2"/>
  <c r="K49" i="2" s="1"/>
  <c r="L49" i="2" s="1"/>
  <c r="M43" i="2"/>
  <c r="M47" i="2"/>
  <c r="L47" i="2" s="1"/>
  <c r="T308" i="2"/>
  <c r="W308" i="2" s="1"/>
  <c r="V308" i="2"/>
  <c r="V299" i="2"/>
  <c r="T298" i="2"/>
  <c r="W298" i="2" s="1"/>
  <c r="T302" i="2"/>
  <c r="W302" i="2" s="1"/>
  <c r="M55" i="2"/>
  <c r="L55" i="2" s="1"/>
  <c r="T309" i="2"/>
  <c r="W309" i="2" s="1"/>
  <c r="U297" i="2"/>
  <c r="K43" i="2" s="1"/>
  <c r="L43" i="2" s="1"/>
  <c r="V297" i="2"/>
  <c r="L46" i="2"/>
  <c r="L42" i="2"/>
  <c r="L50" i="2"/>
  <c r="L52" i="2"/>
</calcChain>
</file>

<file path=xl/sharedStrings.xml><?xml version="1.0" encoding="utf-8"?>
<sst xmlns="http://schemas.openxmlformats.org/spreadsheetml/2006/main" count="2442" uniqueCount="553">
  <si>
    <t>ANÁLISIS C-B</t>
  </si>
  <si>
    <t>CARRETERA ACTUAL</t>
  </si>
  <si>
    <t>NOMBRE DE LA CARRETERA</t>
  </si>
  <si>
    <t>INVERSIÓN (PESOS)</t>
  </si>
  <si>
    <t xml:space="preserve">TDPA </t>
  </si>
  <si>
    <t>TDPA RESTANTE</t>
  </si>
  <si>
    <t>%A</t>
  </si>
  <si>
    <t>%B</t>
  </si>
  <si>
    <t>%C2</t>
  </si>
  <si>
    <t>%C3</t>
  </si>
  <si>
    <t>%T3S2</t>
  </si>
  <si>
    <t>%T3S3</t>
  </si>
  <si>
    <t>%T3S2R4</t>
  </si>
  <si>
    <t>CARRETERA NUEVA</t>
  </si>
  <si>
    <t>TDPA</t>
  </si>
  <si>
    <t>TIPO DE TERRENO "P""L""M"</t>
  </si>
  <si>
    <t>P</t>
  </si>
  <si>
    <t>NIVEL DE SERVICIO</t>
  </si>
  <si>
    <t>AÑO</t>
  </si>
  <si>
    <t>NS</t>
  </si>
  <si>
    <t>VELOCIDAD</t>
  </si>
  <si>
    <t>CARRILES POR SENTIDO "1","2","3"</t>
  </si>
  <si>
    <t>PORCENTAJE DE AUTOBUSES Y VEH PESADOS</t>
  </si>
  <si>
    <t>VELOCIDAD DE FLUJO BASE km/h</t>
  </si>
  <si>
    <t>ANCHO DE CARRIL (m)</t>
  </si>
  <si>
    <t xml:space="preserve">% ZONAS DE NO REVASE </t>
  </si>
  <si>
    <t>PUNTOS DE ACCESO</t>
  </si>
  <si>
    <t>TIPO DE CARRETERA "I", "II" , "III"</t>
  </si>
  <si>
    <t>FRANJA SEPARADORA "S" "N"</t>
  </si>
  <si>
    <t>S</t>
  </si>
  <si>
    <t>RESULTADOS</t>
  </si>
  <si>
    <t>INDICADORES ECONÓMICOS</t>
  </si>
  <si>
    <t>VPN</t>
  </si>
  <si>
    <t>MILLONES DE PESOS</t>
  </si>
  <si>
    <t>TIR</t>
  </si>
  <si>
    <t>IR</t>
  </si>
  <si>
    <t>IRI</t>
  </si>
  <si>
    <t xml:space="preserve">SOLO PARA COMPARAR CON PROYECTOS </t>
  </si>
  <si>
    <t>TRI</t>
  </si>
  <si>
    <t>CON INDICADORES SEMEJANTES</t>
  </si>
  <si>
    <t>CONCLUCIONES</t>
  </si>
  <si>
    <t>AÑOS EN QUE SE PAGA EL PROYECTO</t>
  </si>
  <si>
    <t>TIPO DE TERRENO "P" "L""M"</t>
  </si>
  <si>
    <t>DISTANCIA LIBRE LATERAL (m)</t>
  </si>
  <si>
    <t>CARRETERA ACTUAL SIN PROYECTO</t>
  </si>
  <si>
    <t>AÑOS</t>
  </si>
  <si>
    <t>A</t>
  </si>
  <si>
    <t>B</t>
  </si>
  <si>
    <t>C2</t>
  </si>
  <si>
    <t>C3</t>
  </si>
  <si>
    <t>T3S2</t>
  </si>
  <si>
    <t>T3S3</t>
  </si>
  <si>
    <t>T3S2R4</t>
  </si>
  <si>
    <t>TOTAL</t>
  </si>
  <si>
    <t>TCMA UTILIZADA</t>
  </si>
  <si>
    <t>DEMANDA CARRETERA NUEVA</t>
  </si>
  <si>
    <t>DEMANDA CARRETERA ACTUAL CON PROYECTO</t>
  </si>
  <si>
    <t>DEMANDA CARRETERA ACTUAL SIN PROYECTO</t>
  </si>
  <si>
    <t>DATOS HISTORICOS DEL TDPA 10 AÑOS ATRÁS</t>
  </si>
  <si>
    <t>TCMA</t>
  </si>
  <si>
    <t>TCMA PROPUESTA</t>
  </si>
  <si>
    <t>CALCULO DE LA VELOCIDAD DE FLUJO LIBRE</t>
  </si>
  <si>
    <t>FFS=BFFS-Fls-fa</t>
  </si>
  <si>
    <t>Ajuste por ancho de carril y acotamiento</t>
  </si>
  <si>
    <t xml:space="preserve">BFFS= </t>
  </si>
  <si>
    <t>Acotamiento (m)</t>
  </si>
  <si>
    <t>ancho de carri</t>
  </si>
  <si>
    <t>ancho de carril (m)</t>
  </si>
  <si>
    <t>0 &gt; 0.6</t>
  </si>
  <si>
    <t>0.6 &lt; 1.2</t>
  </si>
  <si>
    <t>1.2 &lt; 1.8</t>
  </si>
  <si>
    <t>&gt; 1.8</t>
  </si>
  <si>
    <t>acotamiento</t>
  </si>
  <si>
    <t>2.7 &lt; 3</t>
  </si>
  <si>
    <t>Fasctor de ajuste</t>
  </si>
  <si>
    <t>&gt; 3 &lt; 3.3</t>
  </si>
  <si>
    <t>FFS=</t>
  </si>
  <si>
    <t>&gt; 3.3 &lt; 3.6</t>
  </si>
  <si>
    <t>Puntos de acceso</t>
  </si>
  <si>
    <t>&gt; 3.6</t>
  </si>
  <si>
    <t>Factor de ajuste</t>
  </si>
  <si>
    <t>Ancho de Carril</t>
  </si>
  <si>
    <t>Carretera nueva</t>
  </si>
  <si>
    <t>ancho de carril</t>
  </si>
  <si>
    <t>Ajuste por puntos de acceso</t>
  </si>
  <si>
    <t>reducción en FFS en km</t>
  </si>
  <si>
    <t>DETERMINACIÓN DE TASA DE FLOUJO</t>
  </si>
  <si>
    <t>Puntos de acceso por km</t>
  </si>
  <si>
    <t>Carretera actual CP</t>
  </si>
  <si>
    <t>Carretera actual SP</t>
  </si>
  <si>
    <t>CN</t>
  </si>
  <si>
    <t>PT=</t>
  </si>
  <si>
    <t>PR</t>
  </si>
  <si>
    <t>CALCULO DE VEHICULOS EQUIVALENTES PARA CAMIONES DE PASAJEROS</t>
  </si>
  <si>
    <t>TIPO DE VEHICULO</t>
  </si>
  <si>
    <t>FLUJO EN veh/Km</t>
  </si>
  <si>
    <t>PLANO</t>
  </si>
  <si>
    <t>LOMERIO</t>
  </si>
  <si>
    <t>ET</t>
  </si>
  <si>
    <t>TIPO DE TERRENO</t>
  </si>
  <si>
    <r>
      <rPr>
        <b/>
        <sz val="11"/>
        <color theme="1"/>
        <rFont val="Calibri"/>
        <family val="2"/>
      </rPr>
      <t>≤</t>
    </r>
    <r>
      <rPr>
        <b/>
        <sz val="11"/>
        <color theme="1"/>
        <rFont val="Calibri"/>
        <family val="2"/>
        <scheme val="minor"/>
      </rPr>
      <t>100</t>
    </r>
  </si>
  <si>
    <t>ER</t>
  </si>
  <si>
    <t>TODOS LOS FLUJOS</t>
  </si>
  <si>
    <r>
      <rPr>
        <b/>
        <sz val="11"/>
        <color theme="1"/>
        <rFont val="Calibri"/>
        <family val="2"/>
      </rPr>
      <t>≥</t>
    </r>
    <r>
      <rPr>
        <b/>
        <sz val="11"/>
        <color theme="1"/>
        <rFont val="Calibri"/>
        <family val="2"/>
        <scheme val="minor"/>
      </rPr>
      <t>900</t>
    </r>
  </si>
  <si>
    <t>FACTOR DE AJUSTE POR PENDIENTE</t>
  </si>
  <si>
    <t>FACTOR FG</t>
  </si>
  <si>
    <t>FG</t>
  </si>
  <si>
    <t>V</t>
  </si>
  <si>
    <t>DISTRIBUCIÓN DIRECCIONAL</t>
  </si>
  <si>
    <t>Factor de ajuste de zonas de no rebase para el PTSF en el segmento de análisis</t>
  </si>
  <si>
    <t>FG CN</t>
  </si>
  <si>
    <t>FHV CN</t>
  </si>
  <si>
    <t>FLUJO EN DOS DIRECCIONES</t>
  </si>
  <si>
    <t>% DE ZONAS DE NO REBASE</t>
  </si>
  <si>
    <t>DISTRIBUCIÓN DIRECCIONAL50/50</t>
  </si>
  <si>
    <t>DISTRIBUCIÓN DIRECCIONAL60/40</t>
  </si>
  <si>
    <t>DISTRIBUCIÓN DIRECCIONAL70/30</t>
  </si>
  <si>
    <t>DISTRIBUCIÓN DIRECCIONAL80/20</t>
  </si>
  <si>
    <t>DISTRIBUCIÓN DIRECCIONAL90/10</t>
  </si>
  <si>
    <t>CALCULO DE ATS</t>
  </si>
  <si>
    <t>PROMEDIO DE VELOCIDAD DE VIAJE EN AMBAS DIRECCIONES</t>
  </si>
  <si>
    <t>FG CA S/P</t>
  </si>
  <si>
    <t>FG CA C/P</t>
  </si>
  <si>
    <t>ER CA S/P</t>
  </si>
  <si>
    <t>ER CN</t>
  </si>
  <si>
    <t>ER CA C/P</t>
  </si>
  <si>
    <t>CA C/P</t>
  </si>
  <si>
    <t>CA S/P</t>
  </si>
  <si>
    <t>FHV CA C/P</t>
  </si>
  <si>
    <t>PT CA C/P</t>
  </si>
  <si>
    <t>PT CN</t>
  </si>
  <si>
    <t>PT CA S/P</t>
  </si>
  <si>
    <t>FHV CA S/P</t>
  </si>
  <si>
    <t>DISTRIBUCIÓN DIRECCIONAL CA</t>
  </si>
  <si>
    <t>DISTRIBUCIÓN DIRECCIONAL CN</t>
  </si>
  <si>
    <t>% DE ZONAS DE NO REBASE CA</t>
  </si>
  <si>
    <t>% DE ZONAS DE NO REBASE CN</t>
  </si>
  <si>
    <t>%</t>
  </si>
  <si>
    <t>FNP CA C/P</t>
  </si>
  <si>
    <t>FNP CN</t>
  </si>
  <si>
    <t>FNP CA S/P</t>
  </si>
  <si>
    <t>PARA DETERMINACIONES DE NIVEL DE SERVICIO</t>
  </si>
  <si>
    <t>VPH AMBAS DIRECCIONES</t>
  </si>
  <si>
    <t>FHMD</t>
  </si>
  <si>
    <t>C</t>
  </si>
  <si>
    <t>D</t>
  </si>
  <si>
    <t>E</t>
  </si>
  <si>
    <t>FHMD CA C/P</t>
  </si>
  <si>
    <t>FHMD CA S/P</t>
  </si>
  <si>
    <t>FHMD CN</t>
  </si>
  <si>
    <t>VP CA C/P</t>
  </si>
  <si>
    <t>VP CA S/P</t>
  </si>
  <si>
    <t>VP CN</t>
  </si>
  <si>
    <t>ATS</t>
  </si>
  <si>
    <t>Carretera actual con proyecto</t>
  </si>
  <si>
    <t>I</t>
  </si>
  <si>
    <t>II</t>
  </si>
  <si>
    <t>III</t>
  </si>
  <si>
    <t>PTSF</t>
  </si>
  <si>
    <t>PFFS</t>
  </si>
  <si>
    <t>BPTSF C/P</t>
  </si>
  <si>
    <t>BPTSF S/P</t>
  </si>
  <si>
    <t>BPTSF CN</t>
  </si>
  <si>
    <t>DEMANDA CARRETERA ACTUAL</t>
  </si>
  <si>
    <t>CALCULO DE NIVEL DE SERVICIO EN CARRETERAS DE CARRILES MULTIPLES</t>
  </si>
  <si>
    <t>AJUSTE POR ANCHO DE CARRIL</t>
  </si>
  <si>
    <t>CA</t>
  </si>
  <si>
    <t>ANCHO DE CARRIL</t>
  </si>
  <si>
    <t>REDUCCIÓN Km/h</t>
  </si>
  <si>
    <t>ANCHO DE CARRIL CA</t>
  </si>
  <si>
    <t>REDUCCIÓN Flw CA</t>
  </si>
  <si>
    <t>ANCHO DE CARRIL CN</t>
  </si>
  <si>
    <t>REDUCCIÓN Flw CN</t>
  </si>
  <si>
    <t>CA1</t>
  </si>
  <si>
    <t>AJUSTE POR HOMBRO LATERAL DERECHO LIBRE</t>
  </si>
  <si>
    <t>2 CARRILES</t>
  </si>
  <si>
    <t>DISTANCIA LATERAL</t>
  </si>
  <si>
    <t>NUMERO DE CARRILES (2)(3)</t>
  </si>
  <si>
    <t>DISTANCIA LIBRE LATERAL</t>
  </si>
  <si>
    <t>REDUCCIÓN Flc CA</t>
  </si>
  <si>
    <t>DISTANCIAL LIBRE LATERAL CN</t>
  </si>
  <si>
    <t>6 CARRILES</t>
  </si>
  <si>
    <t>AJUSTE POR FRAJA SEPARADORA</t>
  </si>
  <si>
    <t xml:space="preserve">CA </t>
  </si>
  <si>
    <t>TIPO DE SEPARACIÓN</t>
  </si>
  <si>
    <t>CARRETERAS CON SEPARACIÓN</t>
  </si>
  <si>
    <t>CARRETERAS SIN SEPARACIÓN</t>
  </si>
  <si>
    <t>SI,"S",NO, "N"</t>
  </si>
  <si>
    <t xml:space="preserve">CARRETERAS DIVIDIDAS </t>
  </si>
  <si>
    <t>FACTOR DE AJUSTE</t>
  </si>
  <si>
    <t>AJUSTE POR PUNTOS DE ACCESO</t>
  </si>
  <si>
    <t>REDUCCIÓN EN FFS</t>
  </si>
  <si>
    <t>REDUCCIÓN FFS</t>
  </si>
  <si>
    <t>CALCULO DE VELOCIDAD DE FLUJO LIBRE</t>
  </si>
  <si>
    <t xml:space="preserve"> </t>
  </si>
  <si>
    <t>BFFS=</t>
  </si>
  <si>
    <t>Km/h</t>
  </si>
  <si>
    <t>CARRETERA ACTUAL 1</t>
  </si>
  <si>
    <t>AJUSTE POR VEHICULOS PESADOS</t>
  </si>
  <si>
    <t>FHV=</t>
  </si>
  <si>
    <t>FP=</t>
  </si>
  <si>
    <t>FACTOR</t>
  </si>
  <si>
    <t>MONTAÑOSO</t>
  </si>
  <si>
    <t>TIPO DE TERRENO CA</t>
  </si>
  <si>
    <t>TIPO DE TERRENO CN</t>
  </si>
  <si>
    <t>TIPO DE TERRENO CA1</t>
  </si>
  <si>
    <t>AUTOBUSES Y CAMIONES</t>
  </si>
  <si>
    <t>VEH RECREAT.</t>
  </si>
  <si>
    <t>FFS</t>
  </si>
  <si>
    <t>CRITERIO</t>
  </si>
  <si>
    <t xml:space="preserve">DENSIDAD </t>
  </si>
  <si>
    <t>100Km/h</t>
  </si>
  <si>
    <t>VEL. PROM.</t>
  </si>
  <si>
    <t>VP</t>
  </si>
  <si>
    <t>90Km/h</t>
  </si>
  <si>
    <t>80Km/h</t>
  </si>
  <si>
    <t>70Km/h</t>
  </si>
  <si>
    <t>Vp</t>
  </si>
  <si>
    <t>VEL</t>
  </si>
  <si>
    <t>CARRETERA NUEVA I</t>
  </si>
  <si>
    <t>bv</t>
  </si>
  <si>
    <t>1.-CARRETERA ACTUAL CON PROYECTO</t>
  </si>
  <si>
    <t>2.-CARRETERA NUEVA</t>
  </si>
  <si>
    <t>3.-CARRETERA ACTUAL SIN PROYECTO</t>
  </si>
  <si>
    <t>NDS</t>
  </si>
  <si>
    <t>TIPO DE CARRETERA</t>
  </si>
  <si>
    <t>VEHICULO TIPO A</t>
  </si>
  <si>
    <t>VEHICULOS EN CARRETERA ACTUAL CON CARRETERA NUEVA</t>
  </si>
  <si>
    <t>COSTO BASE</t>
  </si>
  <si>
    <t>VELOCIDAES POR TIPO DE TERERNO</t>
  </si>
  <si>
    <t>IIR POR TIPO DE TERRENO</t>
  </si>
  <si>
    <t>FACTOR DE AJUSTE POR TIPO DE TERRENO</t>
  </si>
  <si>
    <t>VELOCIDAD DE OPERACIÓN-VEHÍCULO LIGERO O UTILITARIO</t>
  </si>
  <si>
    <t>Plano</t>
  </si>
  <si>
    <t>lomerío</t>
  </si>
  <si>
    <t>montañoso</t>
  </si>
  <si>
    <t>Valores calculados, en km/h      (2012)</t>
  </si>
  <si>
    <t>IIR</t>
  </si>
  <si>
    <t>VEHICULOS EN CARRETERA NUEVA</t>
  </si>
  <si>
    <t>FORMULAS</t>
  </si>
  <si>
    <t>COSTOS DE OPERACIÓN</t>
  </si>
  <si>
    <t>CARRETERA ACTUAL C/P</t>
  </si>
  <si>
    <t>VEHICULOS EN CARRETERA ACTUAL S/P</t>
  </si>
  <si>
    <t>TDPA*COSTOS DE OPERACIÓN*365*DISTANCIA RECORRIDA</t>
  </si>
  <si>
    <t>COSTOS DE OPERACIÓN DE VEHICULOS TIPO "A" EN CARRETERA ACTUAL CON PROYECTO</t>
  </si>
  <si>
    <t>TDPA "A"</t>
  </si>
  <si>
    <t>CO</t>
  </si>
  <si>
    <t>DISTANCIA</t>
  </si>
  <si>
    <t>COSTOS DE OPERACIÓN DE VEHICULOS TIPO "A" EN CARRETERA NUEVA</t>
  </si>
  <si>
    <t>DIFERENCIA EN COSTOS DE OPERACIÓN VEHICULO "A"</t>
  </si>
  <si>
    <t>DIFERENCIA EN COSTOS DE OPERACIÓN</t>
  </si>
  <si>
    <t>AUTOBUS FORANEO</t>
  </si>
  <si>
    <t>VELOCIDAD DE OPERACIÓN-AUTOBÚS FORÁNEO</t>
  </si>
  <si>
    <t>Valores calculados en km/h.      (2012)</t>
  </si>
  <si>
    <t>CÁLCULO DE LA VELOCIDAD DE VEHICULO TIPO B</t>
  </si>
  <si>
    <t>VELOCIDAD "A"</t>
  </si>
  <si>
    <t>Velocidad "B"</t>
  </si>
  <si>
    <t>FA</t>
  </si>
  <si>
    <t>VEHICULO TIPO B</t>
  </si>
  <si>
    <t>VEHICULOS EN CARRETERA ACTUAL SIN PROYECTO</t>
  </si>
  <si>
    <t>COSTOS DE OPERACIÓN DE VEHICULOS TIPO "B" EN CARRETERA ACTUAL CON PROYECTO</t>
  </si>
  <si>
    <t>COSTOS DE OPERACIÓN DE VEHICULOS TIPO "B" EN CARRETERA NUEVA</t>
  </si>
  <si>
    <t>DIFERENCIA EN COSTOS DE OPERACIÓN VEHICULO "B"</t>
  </si>
  <si>
    <t>TDPA "B"</t>
  </si>
  <si>
    <t>VELOCIDAD DE OPERACIÓN-CAMIÓN DE DOS EJES</t>
  </si>
  <si>
    <t>Valores calculados en km/h      (2012)</t>
  </si>
  <si>
    <t>Velocidad "C2"</t>
  </si>
  <si>
    <t>COSTOS DE OPERACIÓN DE VEHICULOS TIPO "C2" EN CARRETERA ACTUAL CON PROYECTO</t>
  </si>
  <si>
    <t>COSTOS DE OPERACIÓN DE VEHICULOS TIPO "C2" EN CARRETERA NUEVA</t>
  </si>
  <si>
    <t>TDPA "C2"</t>
  </si>
  <si>
    <t>DIFERENCIA EN COSTOS DE OPERACIÓN VEHICULO "C2"</t>
  </si>
  <si>
    <t>CAMIÓN DE 2 EJES</t>
  </si>
  <si>
    <t>CAMIÓN DE 3 EJES</t>
  </si>
  <si>
    <t>Velocidad "C3"</t>
  </si>
  <si>
    <t>VELOCIDAD DE OPERACIÓN-CAMIÓN DE TRES EJES</t>
  </si>
  <si>
    <t>VEHICULO TIPO C2</t>
  </si>
  <si>
    <t>VEHICULO TIPO C3</t>
  </si>
  <si>
    <t>COSTOS DE OPERACIÓN DE VEHICULOS TIPO "C3" EN CARRETERA ACTUAL CON PROYECTO</t>
  </si>
  <si>
    <t>COSTOS DE OPERACIÓN DE VEHICULOS TIPO "C3" EN CARRETERA NUEVA</t>
  </si>
  <si>
    <t>TDPA "C3"</t>
  </si>
  <si>
    <t>DIFERENCIA EN COSTOS DE OPERACIÓN VEHICULO "C3"</t>
  </si>
  <si>
    <t>VELOCIDAD DE OPERACIÓN-T3S2</t>
  </si>
  <si>
    <t>Velocidad "T3S2"</t>
  </si>
  <si>
    <t>VEHICULO TIPO T3S2</t>
  </si>
  <si>
    <t>COSTOS DE OPERACIÓN DE VEHICULOS TIPO "T3S2" EN CARRETERA ACTUAL CON PROYECTO</t>
  </si>
  <si>
    <t>COSTOS DE OPERACIÓN DE VEHICULOS TIPO "T3S2" EN CARRETERA NUEVA</t>
  </si>
  <si>
    <t>TDPA "T3S2"</t>
  </si>
  <si>
    <t>DIFERENCIA EN COSTOS DE OPERACIÓN VEHICULO "T3S2"</t>
  </si>
  <si>
    <t>VELOCIDAD DE OPERACIÓN-T3S3</t>
  </si>
  <si>
    <t>Velocidad "T3S3"</t>
  </si>
  <si>
    <t>VEHICULO TIPO T3S3</t>
  </si>
  <si>
    <t>COSTOS DE OPERACIÓN DE VEHICULOS TIPO "T3S3" EN CARRETERA ACTUAL CON PROYECTO</t>
  </si>
  <si>
    <t>COSTOS DE OPERACIÓN DE VEHICULOS TIPO "T3S3" EN CARRETERA NUEVA</t>
  </si>
  <si>
    <t>TDPA "T3S3"</t>
  </si>
  <si>
    <t>VELOCIDAD DE OPERACIÓN-T3S2R4</t>
  </si>
  <si>
    <t>Velocidad "T3S2R4"</t>
  </si>
  <si>
    <t>VEHICULO TIPO T3S2R4</t>
  </si>
  <si>
    <t>COSTOS DE OPERACIÓN DE VEHICULOS TIPO "T3S2R4" EN CARRETERA ACTUAL CON PROYECTO</t>
  </si>
  <si>
    <t>TDPA "T3S2R4"</t>
  </si>
  <si>
    <t>COSTOS DE OPERACIÓN DE VEHICULOS TIPO "T3S2R4" EN CARRETERA NUEVA</t>
  </si>
  <si>
    <t>DIFERENCIA EN COSTOS DE OPERACIÓN VEHICULO "T3S2R4"</t>
  </si>
  <si>
    <t>BENEFICIOS OBTENIDOS POR COSTOS DE OPERACIÓN VEHICULAR</t>
  </si>
  <si>
    <t>BENEFICIOS</t>
  </si>
  <si>
    <t>Valor del tiempo por motivo de trabajo (SHP):</t>
  </si>
  <si>
    <t>SHP=</t>
  </si>
  <si>
    <t>(FIP*SMPG*7)/HTP</t>
  </si>
  <si>
    <t>Viajes por motivo de trabajo</t>
  </si>
  <si>
    <t>Valor del tiempo por motivo de placer (VTpp):</t>
  </si>
  <si>
    <t>Viajes por motivo de placer</t>
  </si>
  <si>
    <t>VTpp=</t>
  </si>
  <si>
    <t>0.3*H</t>
  </si>
  <si>
    <t>DONDE</t>
  </si>
  <si>
    <t>H=</t>
  </si>
  <si>
    <t>ingreso horario familiar = 2*FIP*SMH</t>
  </si>
  <si>
    <t>SMH=</t>
  </si>
  <si>
    <t>salario mínimo por hora (en pesos) = SMGP / PHTD</t>
  </si>
  <si>
    <t>Fuente:</t>
  </si>
  <si>
    <t>PHTD=</t>
  </si>
  <si>
    <t>promedio de horas trabajadas diarias = HTP / 7</t>
  </si>
  <si>
    <t>CONASAMI (2012), Comisión Nacional de los Salarios Mínimos, www.conasami.gob.mx</t>
  </si>
  <si>
    <t>HTP=</t>
  </si>
  <si>
    <t xml:space="preserve">promedio de las horas trabajadas por semana = </t>
  </si>
  <si>
    <t>Publicacion IMT</t>
  </si>
  <si>
    <t>FIP=</t>
  </si>
  <si>
    <t xml:space="preserve">factor de ajuste del ingreso promedio de la población = </t>
  </si>
  <si>
    <t>CEPEP</t>
  </si>
  <si>
    <t>SMPG=</t>
  </si>
  <si>
    <t>salario mínimo general promedio (en pesos diarios)=</t>
  </si>
  <si>
    <t>PUBLICADO POR CONASAMI 2012</t>
  </si>
  <si>
    <t>OCUPANTES VEHICULO</t>
  </si>
  <si>
    <t>OCUPANTES BUS</t>
  </si>
  <si>
    <t>VEL1</t>
  </si>
  <si>
    <t>TIEMPO</t>
  </si>
  <si>
    <t>VT TRABAJO</t>
  </si>
  <si>
    <t>VT PLACER</t>
  </si>
  <si>
    <t>VEHICULO EN CARRETERA ACTUAL CON CARRETERA NUEVA</t>
  </si>
  <si>
    <t>VEHICULO EN CARRETERA NUEVA</t>
  </si>
  <si>
    <t>VEHICULO EN CARRETERA ACTUAL SIN CARRETERA NUEVA</t>
  </si>
  <si>
    <t>AHORROS EN VALOR DEL TIEMPO POR VEHICULOS TIPO "A"</t>
  </si>
  <si>
    <t>VALOR DEL TIEMPO CARRETERA ACTUAL C/P</t>
  </si>
  <si>
    <t>COSTO</t>
  </si>
  <si>
    <t>VALOR DEL TIEMPO CARRETERA NUEVA</t>
  </si>
  <si>
    <t>VALOR DEL TIEMPO CARRETERA ACTUAL S/P</t>
  </si>
  <si>
    <t>AHORROS</t>
  </si>
  <si>
    <t>AHORROS TOTALES EN VALOR DEL TIEMPO</t>
  </si>
  <si>
    <t>AHORROS EN VALOR DEL TIEMPO</t>
  </si>
  <si>
    <t>COSTOS DE INVERSIÓN Y MTTO</t>
  </si>
  <si>
    <t>TOTAL DE INGRESOS</t>
  </si>
  <si>
    <t>VALOR PRESENTE (inversión)</t>
  </si>
  <si>
    <t>VALOR PRESENTE (ingresos)</t>
  </si>
  <si>
    <t>VPN (precios constantes)</t>
  </si>
  <si>
    <t>VPN (precios actualizados)</t>
  </si>
  <si>
    <t>VN ACUMULADO (constantes)</t>
  </si>
  <si>
    <t>VPN ACUMULADO (ACT)</t>
  </si>
  <si>
    <t>FACTOR DE ACTUALIZACIÓN</t>
  </si>
  <si>
    <t>totales</t>
  </si>
  <si>
    <t>millones de pesos</t>
  </si>
  <si>
    <t>concepto</t>
  </si>
  <si>
    <t>Años</t>
  </si>
  <si>
    <t>cantidad</t>
  </si>
  <si>
    <t>unidad</t>
  </si>
  <si>
    <t>pu</t>
  </si>
  <si>
    <t>importe</t>
  </si>
  <si>
    <t>Km</t>
  </si>
  <si>
    <t>Cosnservación rutinaria 1año</t>
  </si>
  <si>
    <t>CRITERIOS DE CONSERVACIÓN EN LA CARRETERA NUEVA</t>
  </si>
  <si>
    <t>CONSERVACIÓN CADA 4 AÑOS</t>
  </si>
  <si>
    <t>CONSERVACIÓN CADA 8 AÑOS</t>
  </si>
  <si>
    <t>CONSERVACIÓN CADA 16 AÑOS</t>
  </si>
  <si>
    <t>CONSERVACIÓN ANUAL</t>
  </si>
  <si>
    <t>RIEGO DE SELLO</t>
  </si>
  <si>
    <t>SOBRECARPETA</t>
  </si>
  <si>
    <t>RECONSTRUCCIÓN</t>
  </si>
  <si>
    <t>nivel de servicio en autopistas</t>
  </si>
  <si>
    <t>Vs=C*(v/c)*N*fa*fc*fvp</t>
  </si>
  <si>
    <t>C= capacidad en el carril en condiciones ideales</t>
  </si>
  <si>
    <t>vphpc</t>
  </si>
  <si>
    <t>&lt;90 Km/h</t>
  </si>
  <si>
    <t>&gt;90 Km/h</t>
  </si>
  <si>
    <t>VDM= V/FHMD</t>
  </si>
  <si>
    <t>VDM</t>
  </si>
  <si>
    <t>1.Numero de carriles por sentido "N"</t>
  </si>
  <si>
    <t>2.capacidad por carril "C"</t>
  </si>
  <si>
    <t>3.-Factor de ajuste</t>
  </si>
  <si>
    <t>N ambos sentidos</t>
  </si>
  <si>
    <t>distancia libre lateral</t>
  </si>
  <si>
    <t>obstaculos en un lado, anchos de carril, en m</t>
  </si>
  <si>
    <t>6 a 8</t>
  </si>
  <si>
    <t>Separación por numero de carriles</t>
  </si>
  <si>
    <t>SEPARACIÓN POR DISTANCIA LIBRE LATERAL</t>
  </si>
  <si>
    <t>3.2 ANCHO DE CARRIL</t>
  </si>
  <si>
    <t>Factor de ajuste por vehiculos pesados</t>
  </si>
  <si>
    <t>Tipo de Vehiculo</t>
  </si>
  <si>
    <t>Camón</t>
  </si>
  <si>
    <t>Autobus</t>
  </si>
  <si>
    <t>Recreativo</t>
  </si>
  <si>
    <t>Simbolo</t>
  </si>
  <si>
    <t>Ec</t>
  </si>
  <si>
    <t>Eb</t>
  </si>
  <si>
    <t>Er</t>
  </si>
  <si>
    <t>Lomerio</t>
  </si>
  <si>
    <t>Montañoso</t>
  </si>
  <si>
    <t>Terreno</t>
  </si>
  <si>
    <t>5.1 Tipo de Terreno</t>
  </si>
  <si>
    <t>5.2 % de Vehiculos pesados</t>
  </si>
  <si>
    <t>Camiones</t>
  </si>
  <si>
    <t>Autobuses</t>
  </si>
  <si>
    <t>Veh recreativos</t>
  </si>
  <si>
    <t>V/C</t>
  </si>
  <si>
    <t>v/c</t>
  </si>
  <si>
    <t>CALCULO DE VDM CARRETERA ACTUAL CON PROYECTO</t>
  </si>
  <si>
    <t>3.Factor de ajustepon ancho de carril y obstaculos laterales "Fa"</t>
  </si>
  <si>
    <t>4. Ajuste por conductores habituales "Fc"</t>
  </si>
  <si>
    <t>5.Ajuste por Vehiculos pesados "fvp"</t>
  </si>
  <si>
    <t>3.3. Distancia libre lateral en los dos carriles. "S" "N"</t>
  </si>
  <si>
    <t>s</t>
  </si>
  <si>
    <t>n</t>
  </si>
  <si>
    <t>Niveles de Servicio en autopistas</t>
  </si>
  <si>
    <t>F</t>
  </si>
  <si>
    <t>VELOCIDAD DE PROYECTO EN KM/H</t>
  </si>
  <si>
    <t>100-90</t>
  </si>
  <si>
    <t>Nivel de serv.</t>
  </si>
  <si>
    <t>6.Velocidades de operación</t>
  </si>
  <si>
    <t>Carretera Actual C/P</t>
  </si>
  <si>
    <t>CARRETERAS DE DOS CARRILES</t>
  </si>
  <si>
    <t>(VS)i=C (v/c)i fD fA fP Fvp</t>
  </si>
  <si>
    <t>1.Capacidad en condiciones ideales "C"</t>
  </si>
  <si>
    <t>( c )</t>
  </si>
  <si>
    <t>TIPO</t>
  </si>
  <si>
    <t>RELACION V/C PARA CARRETERAS CON LONGITUD DE REBASE</t>
  </si>
  <si>
    <t>DE</t>
  </si>
  <si>
    <t>DP</t>
  </si>
  <si>
    <t>RESTRINGIDO EN % :</t>
  </si>
  <si>
    <t>TERRENO</t>
  </si>
  <si>
    <t>(a)</t>
  </si>
  <si>
    <t>(b)</t>
  </si>
  <si>
    <t>(d)</t>
  </si>
  <si>
    <t>2.1.Tipo de terreno.</t>
  </si>
  <si>
    <t>2.2. Longitud de rebase restringido</t>
  </si>
  <si>
    <t>Factor de ajuste por distribución direccional en carreteras de dos carriles</t>
  </si>
  <si>
    <t>Distribuciòn direccional</t>
  </si>
  <si>
    <t>A. Generalizado</t>
  </si>
  <si>
    <t>A. Tang. Especificas</t>
  </si>
  <si>
    <t>3.1. distribución direccional</t>
  </si>
  <si>
    <t>v</t>
  </si>
  <si>
    <t>Factores de hora maxima para carreteras de dos carriles, basados en distribución aleatoria de flujo</t>
  </si>
  <si>
    <t>DIRECCIONES</t>
  </si>
  <si>
    <t>VPH AMBAS</t>
  </si>
  <si>
    <t>4.Factores de ajuste por ancho de carril y acotamientos</t>
  </si>
  <si>
    <t>4.1 Ancho de carril.</t>
  </si>
  <si>
    <t>4.2 Distancia libre lateral</t>
  </si>
  <si>
    <t xml:space="preserve">Ancho de </t>
  </si>
  <si>
    <t>ANCHO DE CARRIL, EN M Y NIVEL DE SERVICIO</t>
  </si>
  <si>
    <t>A-D</t>
  </si>
  <si>
    <t>2.Relación Volumen capacidad (V/C)</t>
  </si>
  <si>
    <t>3. Factor de ajuste por distribución direccional (Fd)</t>
  </si>
  <si>
    <t>5.(fP)</t>
  </si>
  <si>
    <t>6.Factor de ajuste por vehiculos pesados</t>
  </si>
  <si>
    <t>6.1 Porcentaje de vehiculos sobre la carretera</t>
  </si>
  <si>
    <t>R</t>
  </si>
  <si>
    <t>Automoviles equivalentes para análisis generalizado de carreteras de dos carriles</t>
  </si>
  <si>
    <t xml:space="preserve">Plano </t>
  </si>
  <si>
    <t>Camión</t>
  </si>
  <si>
    <t>Recreacional</t>
  </si>
  <si>
    <t>EC</t>
  </si>
  <si>
    <t>B-C</t>
  </si>
  <si>
    <t>D-E</t>
  </si>
  <si>
    <t>EB</t>
  </si>
  <si>
    <t>EC CAMION</t>
  </si>
  <si>
    <t>ER RECREAC.</t>
  </si>
  <si>
    <t>EB AUTOBUS</t>
  </si>
  <si>
    <t>Fvp</t>
  </si>
  <si>
    <t>VS</t>
  </si>
  <si>
    <t>CARRETERA ACTUAL CON PROYECTO</t>
  </si>
  <si>
    <t>FD</t>
  </si>
  <si>
    <t>FP</t>
  </si>
  <si>
    <t>CARRETERA ACTUAL CON PROYECT</t>
  </si>
  <si>
    <t>CARRETERA ACTUA SIN PROYECTO</t>
  </si>
  <si>
    <t>HCM</t>
  </si>
  <si>
    <t>MANUAL DE CAPACIDAD VIAL</t>
  </si>
  <si>
    <t>FHMD2</t>
  </si>
  <si>
    <t>DIF FHMD</t>
  </si>
  <si>
    <t>v1</t>
  </si>
  <si>
    <t>DIF</t>
  </si>
  <si>
    <t>Carretera Actual S/P</t>
  </si>
  <si>
    <t>3.1.DISTANCIA LIBRE LATERAL</t>
  </si>
  <si>
    <t>vel int 1</t>
  </si>
  <si>
    <t>vel int 2</t>
  </si>
  <si>
    <t>v/c int 1</t>
  </si>
  <si>
    <t>ya</t>
  </si>
  <si>
    <t>yb</t>
  </si>
  <si>
    <t>xb</t>
  </si>
  <si>
    <t>xa</t>
  </si>
  <si>
    <t>x</t>
  </si>
  <si>
    <t>v/c int 2</t>
  </si>
  <si>
    <t>vel def</t>
  </si>
  <si>
    <t>HCM "H"</t>
  </si>
  <si>
    <t>MANUAL DE CAPACIDAD VIAL "M"</t>
  </si>
  <si>
    <t>tipo de análsis</t>
  </si>
  <si>
    <t>Tipo de análsis</t>
  </si>
  <si>
    <t xml:space="preserve">Equivalencias de vehiculos pesados  </t>
  </si>
  <si>
    <t>A=</t>
  </si>
  <si>
    <t>B=</t>
  </si>
  <si>
    <t>CU=</t>
  </si>
  <si>
    <t>CA1=</t>
  </si>
  <si>
    <t>CA2=</t>
  </si>
  <si>
    <t>Equivalencias en vehiculos ligeros</t>
  </si>
  <si>
    <t>fnp2</t>
  </si>
  <si>
    <t>v2</t>
  </si>
  <si>
    <t>dif FNP</t>
  </si>
  <si>
    <t>dif V</t>
  </si>
  <si>
    <t>FNP3</t>
  </si>
  <si>
    <t>FNP4</t>
  </si>
  <si>
    <t>FNP FINAL</t>
  </si>
  <si>
    <t>FHMD PROPUESTO</t>
  </si>
  <si>
    <t>INTERPOLACIÓN</t>
  </si>
  <si>
    <t>Años de construcción "1", "2","3"</t>
  </si>
  <si>
    <t>1 año de inversión</t>
  </si>
  <si>
    <t>2 años de inversión</t>
  </si>
  <si>
    <t>3 años de inversión</t>
  </si>
  <si>
    <t>TDPA Total</t>
  </si>
  <si>
    <t>Tarifa</t>
  </si>
  <si>
    <t>m</t>
  </si>
  <si>
    <t>TDPA veh equiv.</t>
  </si>
  <si>
    <t>Cuota  para recuperación de la inversión</t>
  </si>
  <si>
    <t>Cuota máxima</t>
  </si>
  <si>
    <t>Cuota óptima</t>
  </si>
  <si>
    <t>COSTOS DE OPERACIÓN DE VEHICULOS TIPO "A" EN CARRETERA ACTUAL SIN PROYECTO</t>
  </si>
  <si>
    <t>COSTOS DE OPERACIÓN DE VEHICULOS TIPO "A" EN CARRETERA NUEVA S/P</t>
  </si>
  <si>
    <t>Beneficios de vehiculos en carrtera nueva</t>
  </si>
  <si>
    <t>COSTOS DE OPERACIÓN DE VEHICULOS TIPO "B" EN CARRETERA ACTUAL SIN PROYECTO</t>
  </si>
  <si>
    <t>CN S/P</t>
  </si>
  <si>
    <t>BENEFICIOS OBTENIDOS POR COSTOS DE OPERACIÓN VEHICULAR SOLO CARRETERA NUEVA</t>
  </si>
  <si>
    <t>costo solo de vehiculos en carretera nueva</t>
  </si>
  <si>
    <t>AHORROS VEH EN CN</t>
  </si>
  <si>
    <t>BENEFICIOS SOLO CARRETERA NUEVA</t>
  </si>
  <si>
    <t>BENEFICIOS CN ACTUALIZADOS</t>
  </si>
  <si>
    <t>INVERSIÓN ACTUALIZADA</t>
  </si>
  <si>
    <t>COSTO POR KM</t>
  </si>
  <si>
    <t>CUOTA TOTAL</t>
  </si>
  <si>
    <t>FLUJO EN veh/h</t>
  </si>
  <si>
    <t>Origen-Destino</t>
  </si>
  <si>
    <t xml:space="preserve">Método por el cual se determinará el análisis </t>
  </si>
  <si>
    <t>LLENAR LOS ESPACIOS EN BLANCO CON LAS CARACTERÍSTICAS DEL PROYECTO</t>
  </si>
  <si>
    <t>PORCENTAJE DE VEHÍCULOS QUE CIRCULARIAN EN LA CARRETERA</t>
  </si>
  <si>
    <t>KILÓMETROS DE CAMINO</t>
  </si>
  <si>
    <t>PORCENTAJE DE VEHÍCULOS QUE TOMARÍAN LA CARRETERA NUEVA</t>
  </si>
  <si>
    <t>KILÓMETROS DE CAMINO NUEVO</t>
  </si>
  <si>
    <t>VEHÍCULOS POR HORA</t>
  </si>
  <si>
    <t>VEHÍCULOS RECREATIVOS</t>
  </si>
  <si>
    <t>VEÍCULOS RECREATIVOS</t>
  </si>
  <si>
    <t>NIVEL DE SERVICIO CON 100% DE LOS VEHÍCULOS SIN PROYECTO</t>
  </si>
  <si>
    <t>LA DISTRIBUCIÓN DE LA INVERSIÓN DEBERÁ COINCIDIR CON LOS AÑOS DE CONSTRUCCIÓN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</si>
</sst>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80A]* #,##0.00_-;\-[$$-80A]* #,##0.00_-;_-[$$-80A]* &quot;-&quot;??_-;_-@_-"/>
    <numFmt numFmtId="165" formatCode="0.0%"/>
    <numFmt numFmtId="166" formatCode="0.000"/>
    <numFmt numFmtId="167" formatCode="0.0000"/>
    <numFmt numFmtId="168" formatCode="0.0"/>
    <numFmt numFmtId="169" formatCode="0.00000"/>
    <numFmt numFmtId="170" formatCode="0.0000%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sz val="11"/>
      <color rgb="FFFFFF00"/>
      <name val="Calibri"/>
      <family val="2"/>
      <scheme val="minor"/>
    </font>
    <font>
      <sz val="11"/>
      <color rgb="FFFFFF00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26"/>
      <color theme="0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name val="Calibri"/>
      <family val="2"/>
      <scheme val="minor"/>
    </font>
    <font>
      <sz val="10"/>
      <color theme="1"/>
      <name val="Arial"/>
      <family val="2"/>
    </font>
    <font>
      <sz val="14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2"/>
      <color rgb="FF808284"/>
      <name val="Times New Roman"/>
      <family val="1"/>
    </font>
    <font>
      <sz val="12"/>
      <name val="Times New Roman"/>
      <family val="1"/>
    </font>
    <font>
      <u/>
      <sz val="11"/>
      <color theme="10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9"/>
      <name val="Calibri"/>
      <family val="2"/>
    </font>
    <font>
      <i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Arial"/>
      <family val="2"/>
    </font>
    <font>
      <b/>
      <sz val="14"/>
      <color theme="0"/>
      <name val="Calibri"/>
      <family val="2"/>
      <scheme val="minor"/>
    </font>
    <font>
      <b/>
      <i/>
      <sz val="1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/>
        <bgColor indexed="64"/>
      </patternFill>
    </fill>
  </fills>
  <borders count="7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rgb="FF000000"/>
      </right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</cellStyleXfs>
  <cellXfs count="613">
    <xf numFmtId="0" fontId="0" fillId="0" borderId="0" xfId="0"/>
    <xf numFmtId="0" fontId="3" fillId="2" borderId="0" xfId="0" applyFont="1" applyFill="1"/>
    <xf numFmtId="0" fontId="3" fillId="3" borderId="0" xfId="0" applyFont="1" applyFill="1" applyAlignment="1">
      <alignment horizontal="left"/>
    </xf>
    <xf numFmtId="0" fontId="5" fillId="4" borderId="0" xfId="0" applyFont="1" applyFill="1" applyBorder="1" applyAlignment="1">
      <alignment horizontal="center"/>
    </xf>
    <xf numFmtId="0" fontId="2" fillId="5" borderId="2" xfId="0" applyFont="1" applyFill="1" applyBorder="1"/>
    <xf numFmtId="164" fontId="3" fillId="0" borderId="3" xfId="1" applyNumberFormat="1" applyFont="1" applyFill="1" applyBorder="1"/>
    <xf numFmtId="2" fontId="2" fillId="5" borderId="4" xfId="0" applyNumberFormat="1" applyFont="1" applyFill="1" applyBorder="1" applyAlignment="1">
      <alignment horizontal="left" vertical="top" wrapText="1"/>
    </xf>
    <xf numFmtId="165" fontId="6" fillId="0" borderId="5" xfId="2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165" fontId="3" fillId="0" borderId="1" xfId="2" applyNumberFormat="1" applyFont="1" applyFill="1" applyBorder="1" applyAlignment="1">
      <alignment horizontal="center"/>
    </xf>
    <xf numFmtId="0" fontId="2" fillId="5" borderId="8" xfId="0" applyFont="1" applyFill="1" applyBorder="1"/>
    <xf numFmtId="44" fontId="3" fillId="0" borderId="9" xfId="1" applyFont="1" applyFill="1" applyBorder="1"/>
    <xf numFmtId="0" fontId="2" fillId="5" borderId="10" xfId="0" applyFont="1" applyFill="1" applyBorder="1" applyAlignment="1">
      <alignment horizontal="center"/>
    </xf>
    <xf numFmtId="10" fontId="3" fillId="0" borderId="1" xfId="2" applyNumberFormat="1" applyFont="1" applyFill="1" applyBorder="1" applyAlignment="1">
      <alignment horizontal="center"/>
    </xf>
    <xf numFmtId="0" fontId="2" fillId="5" borderId="1" xfId="0" applyFont="1" applyFill="1" applyBorder="1" applyAlignment="1">
      <alignment wrapText="1"/>
    </xf>
    <xf numFmtId="0" fontId="0" fillId="5" borderId="0" xfId="0" applyFill="1"/>
    <xf numFmtId="0" fontId="2" fillId="5" borderId="0" xfId="0" applyFont="1" applyFill="1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8" fillId="6" borderId="0" xfId="0" applyFont="1" applyFill="1" applyAlignment="1">
      <alignment horizontal="left"/>
    </xf>
    <xf numFmtId="0" fontId="9" fillId="6" borderId="0" xfId="0" applyFont="1" applyFill="1"/>
    <xf numFmtId="0" fontId="2" fillId="6" borderId="0" xfId="0" applyFont="1" applyFill="1" applyAlignment="1">
      <alignment horizontal="right"/>
    </xf>
    <xf numFmtId="0" fontId="2" fillId="6" borderId="11" xfId="0" applyFont="1" applyFill="1" applyBorder="1" applyAlignment="1">
      <alignment horizontal="center"/>
    </xf>
    <xf numFmtId="0" fontId="4" fillId="6" borderId="11" xfId="0" applyFont="1" applyFill="1" applyBorder="1" applyAlignment="1">
      <alignment horizontal="center"/>
    </xf>
    <xf numFmtId="0" fontId="2" fillId="5" borderId="0" xfId="0" applyFont="1" applyFill="1" applyAlignment="1">
      <alignment horizontal="left"/>
    </xf>
    <xf numFmtId="0" fontId="2" fillId="5" borderId="0" xfId="0" applyFont="1" applyFill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0" xfId="0" applyAlignment="1"/>
    <xf numFmtId="1" fontId="3" fillId="0" borderId="11" xfId="0" applyNumberFormat="1" applyFont="1" applyBorder="1" applyAlignment="1">
      <alignment horizontal="center"/>
    </xf>
    <xf numFmtId="1" fontId="2" fillId="5" borderId="11" xfId="0" applyNumberFormat="1" applyFont="1" applyFill="1" applyBorder="1" applyAlignment="1">
      <alignment horizontal="center"/>
    </xf>
    <xf numFmtId="10" fontId="2" fillId="5" borderId="11" xfId="2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1" fontId="0" fillId="0" borderId="0" xfId="0" applyNumberFormat="1"/>
    <xf numFmtId="1" fontId="4" fillId="6" borderId="11" xfId="0" applyNumberFormat="1" applyFont="1" applyFill="1" applyBorder="1" applyAlignment="1">
      <alignment horizontal="center"/>
    </xf>
    <xf numFmtId="0" fontId="5" fillId="7" borderId="0" xfId="0" applyFont="1" applyFill="1" applyBorder="1" applyAlignment="1">
      <alignment horizontal="center"/>
    </xf>
    <xf numFmtId="0" fontId="0" fillId="7" borderId="0" xfId="0" applyFill="1"/>
    <xf numFmtId="0" fontId="2" fillId="5" borderId="0" xfId="0" applyFont="1" applyFill="1"/>
    <xf numFmtId="0" fontId="2" fillId="5" borderId="11" xfId="0" applyFont="1" applyFill="1" applyBorder="1"/>
    <xf numFmtId="0" fontId="2" fillId="5" borderId="0" xfId="0" applyFont="1" applyFill="1" applyBorder="1" applyAlignment="1">
      <alignment horizontal="left"/>
    </xf>
    <xf numFmtId="0" fontId="4" fillId="5" borderId="0" xfId="0" applyFont="1" applyFill="1"/>
    <xf numFmtId="0" fontId="2" fillId="5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0" fillId="0" borderId="0" xfId="0" applyFill="1" applyBorder="1"/>
    <xf numFmtId="1" fontId="2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left"/>
    </xf>
    <xf numFmtId="0" fontId="2" fillId="5" borderId="9" xfId="0" applyFont="1" applyFill="1" applyBorder="1"/>
    <xf numFmtId="0" fontId="3" fillId="0" borderId="9" xfId="0" applyFont="1" applyFill="1" applyBorder="1"/>
    <xf numFmtId="0" fontId="5" fillId="4" borderId="10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165" fontId="3" fillId="0" borderId="7" xfId="2" applyNumberFormat="1" applyFont="1" applyFill="1" applyBorder="1" applyAlignment="1">
      <alignment horizontal="center"/>
    </xf>
    <xf numFmtId="0" fontId="3" fillId="0" borderId="2" xfId="0" applyFont="1" applyFill="1" applyBorder="1"/>
    <xf numFmtId="1" fontId="2" fillId="5" borderId="14" xfId="0" applyNumberFormat="1" applyFont="1" applyFill="1" applyBorder="1" applyAlignment="1">
      <alignment horizontal="center"/>
    </xf>
    <xf numFmtId="0" fontId="0" fillId="0" borderId="0" xfId="0" applyFill="1"/>
    <xf numFmtId="0" fontId="8" fillId="0" borderId="0" xfId="0" applyFont="1" applyFill="1" applyBorder="1" applyAlignment="1">
      <alignment horizontal="center"/>
    </xf>
    <xf numFmtId="10" fontId="2" fillId="0" borderId="0" xfId="2" applyNumberFormat="1" applyFont="1" applyFill="1" applyBorder="1" applyAlignment="1">
      <alignment horizontal="center"/>
    </xf>
    <xf numFmtId="9" fontId="3" fillId="0" borderId="0" xfId="2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5" fillId="8" borderId="0" xfId="0" applyFont="1" applyFill="1" applyBorder="1"/>
    <xf numFmtId="0" fontId="2" fillId="5" borderId="14" xfId="0" applyFont="1" applyFill="1" applyBorder="1"/>
    <xf numFmtId="1" fontId="0" fillId="0" borderId="11" xfId="0" applyNumberFormat="1" applyBorder="1" applyAlignment="1">
      <alignment horizontal="center"/>
    </xf>
    <xf numFmtId="0" fontId="3" fillId="0" borderId="0" xfId="0" applyFont="1"/>
    <xf numFmtId="0" fontId="2" fillId="5" borderId="17" xfId="0" applyFont="1" applyFill="1" applyBorder="1"/>
    <xf numFmtId="9" fontId="2" fillId="5" borderId="17" xfId="2" applyFont="1" applyFill="1" applyBorder="1"/>
    <xf numFmtId="0" fontId="5" fillId="0" borderId="0" xfId="0" applyFont="1" applyFill="1" applyBorder="1"/>
    <xf numFmtId="0" fontId="5" fillId="2" borderId="0" xfId="0" applyFont="1" applyFill="1" applyBorder="1"/>
    <xf numFmtId="0" fontId="2" fillId="5" borderId="18" xfId="0" applyFont="1" applyFill="1" applyBorder="1"/>
    <xf numFmtId="1" fontId="4" fillId="5" borderId="11" xfId="0" applyNumberFormat="1" applyFont="1" applyFill="1" applyBorder="1"/>
    <xf numFmtId="0" fontId="2" fillId="5" borderId="19" xfId="0" applyFont="1" applyFill="1" applyBorder="1" applyAlignment="1">
      <alignment horizontal="center"/>
    </xf>
    <xf numFmtId="9" fontId="2" fillId="5" borderId="1" xfId="2" applyFont="1" applyFill="1" applyBorder="1" applyAlignment="1">
      <alignment horizontal="center"/>
    </xf>
    <xf numFmtId="9" fontId="5" fillId="0" borderId="1" xfId="2" applyFont="1" applyFill="1" applyBorder="1" applyAlignment="1">
      <alignment horizontal="center" vertical="center"/>
    </xf>
    <xf numFmtId="0" fontId="10" fillId="0" borderId="0" xfId="0" applyFont="1" applyFill="1"/>
    <xf numFmtId="1" fontId="4" fillId="0" borderId="0" xfId="0" applyNumberFormat="1" applyFont="1" applyFill="1"/>
    <xf numFmtId="0" fontId="10" fillId="5" borderId="0" xfId="0" applyFont="1" applyFill="1"/>
    <xf numFmtId="2" fontId="0" fillId="0" borderId="0" xfId="0" applyNumberFormat="1"/>
    <xf numFmtId="1" fontId="5" fillId="0" borderId="0" xfId="0" applyNumberFormat="1" applyFont="1" applyFill="1" applyBorder="1" applyAlignment="1">
      <alignment horizontal="center"/>
    </xf>
    <xf numFmtId="1" fontId="3" fillId="0" borderId="0" xfId="0" applyNumberFormat="1" applyFont="1" applyAlignment="1">
      <alignment horizontal="center"/>
    </xf>
    <xf numFmtId="0" fontId="2" fillId="5" borderId="20" xfId="0" applyFont="1" applyFill="1" applyBorder="1" applyAlignment="1">
      <alignment horizontal="center"/>
    </xf>
    <xf numFmtId="0" fontId="2" fillId="5" borderId="21" xfId="0" applyFont="1" applyFill="1" applyBorder="1" applyAlignment="1">
      <alignment horizontal="center"/>
    </xf>
    <xf numFmtId="0" fontId="2" fillId="5" borderId="22" xfId="0" applyFont="1" applyFill="1" applyBorder="1" applyAlignment="1">
      <alignment horizontal="center"/>
    </xf>
    <xf numFmtId="0" fontId="2" fillId="5" borderId="23" xfId="0" applyFont="1" applyFill="1" applyBorder="1" applyAlignment="1">
      <alignment horizontal="center" vertical="center"/>
    </xf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2" fillId="5" borderId="27" xfId="0" applyFont="1" applyFill="1" applyBorder="1" applyAlignment="1">
      <alignment horizontal="center" vertical="center"/>
    </xf>
    <xf numFmtId="0" fontId="0" fillId="0" borderId="28" xfId="0" applyBorder="1"/>
    <xf numFmtId="0" fontId="0" fillId="0" borderId="11" xfId="0" applyBorder="1"/>
    <xf numFmtId="0" fontId="0" fillId="0" borderId="29" xfId="0" applyBorder="1"/>
    <xf numFmtId="0" fontId="2" fillId="5" borderId="30" xfId="0" applyFont="1" applyFill="1" applyBorder="1" applyAlignment="1">
      <alignment horizontal="center" vertical="center"/>
    </xf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21" xfId="0" applyBorder="1"/>
    <xf numFmtId="0" fontId="0" fillId="0" borderId="34" xfId="0" applyBorder="1"/>
    <xf numFmtId="0" fontId="5" fillId="0" borderId="0" xfId="0" applyFont="1" applyFill="1" applyBorder="1" applyAlignment="1">
      <alignment horizontal="left" vertical="center"/>
    </xf>
    <xf numFmtId="0" fontId="4" fillId="5" borderId="11" xfId="0" applyFont="1" applyFill="1" applyBorder="1"/>
    <xf numFmtId="0" fontId="4" fillId="5" borderId="11" xfId="0" applyFont="1" applyFill="1" applyBorder="1" applyAlignment="1">
      <alignment horizontal="center"/>
    </xf>
    <xf numFmtId="0" fontId="10" fillId="0" borderId="11" xfId="0" applyFont="1" applyFill="1" applyBorder="1"/>
    <xf numFmtId="0" fontId="10" fillId="0" borderId="11" xfId="0" applyFont="1" applyFill="1" applyBorder="1" applyAlignment="1">
      <alignment horizontal="center"/>
    </xf>
    <xf numFmtId="0" fontId="0" fillId="0" borderId="0" xfId="0" applyBorder="1"/>
    <xf numFmtId="0" fontId="3" fillId="0" borderId="0" xfId="0" applyFont="1" applyBorder="1"/>
    <xf numFmtId="0" fontId="10" fillId="0" borderId="0" xfId="0" applyFont="1" applyFill="1" applyBorder="1"/>
    <xf numFmtId="10" fontId="10" fillId="0" borderId="0" xfId="0" applyNumberFormat="1" applyFont="1" applyFill="1" applyBorder="1"/>
    <xf numFmtId="168" fontId="10" fillId="0" borderId="0" xfId="0" applyNumberFormat="1" applyFont="1" applyFill="1" applyBorder="1"/>
    <xf numFmtId="0" fontId="10" fillId="0" borderId="0" xfId="0" applyFont="1" applyFill="1" applyBorder="1" applyAlignment="1">
      <alignment horizontal="center"/>
    </xf>
    <xf numFmtId="1" fontId="10" fillId="0" borderId="0" xfId="0" applyNumberFormat="1" applyFont="1" applyFill="1" applyBorder="1" applyAlignment="1">
      <alignment horizontal="center"/>
    </xf>
    <xf numFmtId="0" fontId="2" fillId="0" borderId="0" xfId="0" applyFont="1" applyFill="1" applyBorder="1"/>
    <xf numFmtId="165" fontId="2" fillId="0" borderId="0" xfId="2" applyNumberFormat="1" applyFont="1" applyFill="1" applyBorder="1" applyAlignment="1">
      <alignment horizontal="center"/>
    </xf>
    <xf numFmtId="0" fontId="2" fillId="5" borderId="20" xfId="0" applyFont="1" applyFill="1" applyBorder="1" applyAlignment="1">
      <alignment horizontal="left" wrapText="1"/>
    </xf>
    <xf numFmtId="0" fontId="2" fillId="5" borderId="17" xfId="0" applyFont="1" applyFill="1" applyBorder="1" applyAlignment="1">
      <alignment horizontal="left" vertical="center" wrapText="1"/>
    </xf>
    <xf numFmtId="0" fontId="2" fillId="5" borderId="0" xfId="0" applyFont="1" applyFill="1" applyBorder="1" applyAlignment="1">
      <alignment horizontal="left" vertical="center" wrapText="1"/>
    </xf>
    <xf numFmtId="0" fontId="0" fillId="0" borderId="0" xfId="0" applyFont="1"/>
    <xf numFmtId="0" fontId="0" fillId="0" borderId="0" xfId="0" applyFont="1" applyFill="1" applyBorder="1"/>
    <xf numFmtId="0" fontId="10" fillId="0" borderId="11" xfId="0" applyFont="1" applyFill="1" applyBorder="1" applyAlignment="1">
      <alignment horizontal="center" vertical="center"/>
    </xf>
    <xf numFmtId="0" fontId="0" fillId="0" borderId="11" xfId="0" applyFill="1" applyBorder="1"/>
    <xf numFmtId="1" fontId="10" fillId="0" borderId="11" xfId="0" applyNumberFormat="1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/>
    </xf>
    <xf numFmtId="168" fontId="4" fillId="5" borderId="11" xfId="0" applyNumberFormat="1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 vertical="center"/>
    </xf>
    <xf numFmtId="168" fontId="4" fillId="5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5" borderId="37" xfId="0" applyFont="1" applyFill="1" applyBorder="1"/>
    <xf numFmtId="0" fontId="2" fillId="5" borderId="38" xfId="0" applyFont="1" applyFill="1" applyBorder="1"/>
    <xf numFmtId="0" fontId="2" fillId="5" borderId="39" xfId="0" applyFont="1" applyFill="1" applyBorder="1"/>
    <xf numFmtId="0" fontId="3" fillId="0" borderId="25" xfId="0" applyFont="1" applyBorder="1" applyAlignment="1">
      <alignment horizontal="center"/>
    </xf>
    <xf numFmtId="0" fontId="3" fillId="0" borderId="25" xfId="0" applyFont="1" applyBorder="1"/>
    <xf numFmtId="0" fontId="3" fillId="0" borderId="26" xfId="0" applyFont="1" applyBorder="1"/>
    <xf numFmtId="0" fontId="3" fillId="0" borderId="11" xfId="0" applyFont="1" applyBorder="1"/>
    <xf numFmtId="0" fontId="3" fillId="0" borderId="29" xfId="0" applyFont="1" applyBorder="1"/>
    <xf numFmtId="0" fontId="4" fillId="0" borderId="0" xfId="0" applyFont="1"/>
    <xf numFmtId="0" fontId="3" fillId="0" borderId="40" xfId="0" applyFont="1" applyBorder="1" applyAlignment="1">
      <alignment horizontal="center"/>
    </xf>
    <xf numFmtId="0" fontId="3" fillId="0" borderId="41" xfId="0" applyFont="1" applyBorder="1"/>
    <xf numFmtId="0" fontId="3" fillId="0" borderId="32" xfId="0" applyFont="1" applyBorder="1" applyAlignment="1">
      <alignment horizontal="center"/>
    </xf>
    <xf numFmtId="0" fontId="3" fillId="0" borderId="32" xfId="0" applyFont="1" applyBorder="1"/>
    <xf numFmtId="0" fontId="3" fillId="0" borderId="33" xfId="0" applyFont="1" applyBorder="1"/>
    <xf numFmtId="0" fontId="2" fillId="5" borderId="43" xfId="0" applyFont="1" applyFill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44" xfId="0" applyFont="1" applyBorder="1"/>
    <xf numFmtId="0" fontId="3" fillId="0" borderId="45" xfId="0" applyFont="1" applyBorder="1"/>
    <xf numFmtId="2" fontId="3" fillId="0" borderId="26" xfId="0" applyNumberFormat="1" applyFont="1" applyBorder="1"/>
    <xf numFmtId="2" fontId="3" fillId="0" borderId="29" xfId="0" applyNumberFormat="1" applyFont="1" applyBorder="1"/>
    <xf numFmtId="2" fontId="3" fillId="0" borderId="33" xfId="0" applyNumberFormat="1" applyFont="1" applyBorder="1"/>
    <xf numFmtId="0" fontId="2" fillId="5" borderId="16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/>
    <xf numFmtId="0" fontId="4" fillId="5" borderId="15" xfId="0" applyFont="1" applyFill="1" applyBorder="1" applyAlignment="1">
      <alignment horizontal="center"/>
    </xf>
    <xf numFmtId="0" fontId="9" fillId="0" borderId="0" xfId="0" applyFont="1" applyFill="1"/>
    <xf numFmtId="0" fontId="0" fillId="0" borderId="17" xfId="0" applyBorder="1"/>
    <xf numFmtId="0" fontId="0" fillId="0" borderId="41" xfId="0" applyBorder="1"/>
    <xf numFmtId="0" fontId="0" fillId="0" borderId="47" xfId="0" applyBorder="1"/>
    <xf numFmtId="0" fontId="0" fillId="0" borderId="42" xfId="0" applyBorder="1"/>
    <xf numFmtId="0" fontId="0" fillId="0" borderId="46" xfId="0" applyBorder="1"/>
    <xf numFmtId="0" fontId="0" fillId="0" borderId="48" xfId="0" applyBorder="1"/>
    <xf numFmtId="0" fontId="0" fillId="0" borderId="14" xfId="0" applyBorder="1"/>
    <xf numFmtId="0" fontId="0" fillId="0" borderId="49" xfId="0" applyBorder="1"/>
    <xf numFmtId="0" fontId="2" fillId="5" borderId="40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2" fontId="10" fillId="0" borderId="11" xfId="2" applyNumberFormat="1" applyFont="1" applyFill="1" applyBorder="1" applyAlignment="1">
      <alignment horizontal="center"/>
    </xf>
    <xf numFmtId="9" fontId="9" fillId="0" borderId="0" xfId="2" applyFont="1" applyFill="1" applyAlignment="1">
      <alignment horizontal="center"/>
    </xf>
    <xf numFmtId="0" fontId="4" fillId="5" borderId="11" xfId="0" applyFont="1" applyFill="1" applyBorder="1" applyAlignment="1">
      <alignment horizontal="right"/>
    </xf>
    <xf numFmtId="0" fontId="4" fillId="5" borderId="0" xfId="0" applyFont="1" applyFill="1" applyAlignment="1">
      <alignment horizontal="center"/>
    </xf>
    <xf numFmtId="10" fontId="4" fillId="5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right"/>
    </xf>
    <xf numFmtId="0" fontId="4" fillId="5" borderId="0" xfId="0" applyFont="1" applyFill="1" applyAlignment="1">
      <alignment horizontal="right"/>
    </xf>
    <xf numFmtId="0" fontId="2" fillId="5" borderId="37" xfId="0" applyFont="1" applyFill="1" applyBorder="1" applyAlignment="1"/>
    <xf numFmtId="0" fontId="0" fillId="0" borderId="40" xfId="0" applyBorder="1"/>
    <xf numFmtId="2" fontId="5" fillId="0" borderId="0" xfId="0" applyNumberFormat="1" applyFont="1" applyFill="1" applyBorder="1" applyAlignment="1">
      <alignment horizontal="center"/>
    </xf>
    <xf numFmtId="0" fontId="0" fillId="2" borderId="0" xfId="0" applyFill="1"/>
    <xf numFmtId="0" fontId="5" fillId="0" borderId="15" xfId="0" applyFont="1" applyFill="1" applyBorder="1"/>
    <xf numFmtId="0" fontId="5" fillId="0" borderId="15" xfId="0" applyFont="1" applyFill="1" applyBorder="1" applyAlignment="1">
      <alignment horizontal="center"/>
    </xf>
    <xf numFmtId="0" fontId="0" fillId="0" borderId="43" xfId="0" applyFill="1" applyBorder="1"/>
    <xf numFmtId="0" fontId="0" fillId="0" borderId="44" xfId="0" applyBorder="1"/>
    <xf numFmtId="0" fontId="0" fillId="0" borderId="52" xfId="0" applyBorder="1"/>
    <xf numFmtId="0" fontId="0" fillId="0" borderId="17" xfId="0" applyFill="1" applyBorder="1"/>
    <xf numFmtId="0" fontId="5" fillId="0" borderId="21" xfId="0" applyFont="1" applyFill="1" applyBorder="1"/>
    <xf numFmtId="0" fontId="5" fillId="0" borderId="34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right"/>
    </xf>
    <xf numFmtId="0" fontId="5" fillId="0" borderId="36" xfId="0" applyFont="1" applyFill="1" applyBorder="1" applyAlignment="1">
      <alignment horizontal="left"/>
    </xf>
    <xf numFmtId="0" fontId="3" fillId="0" borderId="10" xfId="0" applyFont="1" applyBorder="1"/>
    <xf numFmtId="0" fontId="3" fillId="0" borderId="13" xfId="0" applyFont="1" applyBorder="1"/>
    <xf numFmtId="0" fontId="2" fillId="5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3" xfId="0" applyBorder="1" applyAlignment="1"/>
    <xf numFmtId="2" fontId="0" fillId="0" borderId="53" xfId="0" applyNumberFormat="1" applyBorder="1" applyAlignment="1"/>
    <xf numFmtId="0" fontId="0" fillId="0" borderId="11" xfId="0" applyBorder="1" applyAlignment="1"/>
    <xf numFmtId="0" fontId="0" fillId="0" borderId="42" xfId="0" applyBorder="1" applyAlignment="1"/>
    <xf numFmtId="2" fontId="0" fillId="0" borderId="42" xfId="0" applyNumberFormat="1" applyBorder="1" applyAlignment="1"/>
    <xf numFmtId="2" fontId="0" fillId="0" borderId="11" xfId="0" applyNumberFormat="1" applyBorder="1" applyAlignment="1">
      <alignment horizontal="center"/>
    </xf>
    <xf numFmtId="2" fontId="0" fillId="0" borderId="42" xfId="0" applyNumberFormat="1" applyBorder="1"/>
    <xf numFmtId="2" fontId="0" fillId="0" borderId="46" xfId="0" applyNumberFormat="1" applyBorder="1"/>
    <xf numFmtId="0" fontId="11" fillId="0" borderId="0" xfId="0" applyFont="1" applyFill="1"/>
    <xf numFmtId="1" fontId="0" fillId="0" borderId="11" xfId="0" applyNumberFormat="1" applyBorder="1"/>
    <xf numFmtId="0" fontId="2" fillId="5" borderId="11" xfId="0" applyFont="1" applyFill="1" applyBorder="1" applyAlignment="1">
      <alignment horizontal="right"/>
    </xf>
    <xf numFmtId="0" fontId="8" fillId="5" borderId="11" xfId="0" applyFont="1" applyFill="1" applyBorder="1" applyAlignment="1">
      <alignment horizontal="center"/>
    </xf>
    <xf numFmtId="166" fontId="0" fillId="0" borderId="11" xfId="0" applyNumberFormat="1" applyBorder="1"/>
    <xf numFmtId="2" fontId="0" fillId="0" borderId="11" xfId="0" applyNumberFormat="1" applyBorder="1"/>
    <xf numFmtId="168" fontId="0" fillId="0" borderId="0" xfId="0" applyNumberFormat="1"/>
    <xf numFmtId="1" fontId="3" fillId="0" borderId="11" xfId="0" applyNumberFormat="1" applyFont="1" applyBorder="1"/>
    <xf numFmtId="1" fontId="2" fillId="5" borderId="11" xfId="0" applyNumberFormat="1" applyFont="1" applyFill="1" applyBorder="1"/>
    <xf numFmtId="10" fontId="2" fillId="5" borderId="54" xfId="2" applyNumberFormat="1" applyFont="1" applyFill="1" applyBorder="1"/>
    <xf numFmtId="9" fontId="2" fillId="0" borderId="0" xfId="0" applyNumberFormat="1" applyFont="1" applyFill="1" applyBorder="1"/>
    <xf numFmtId="10" fontId="2" fillId="0" borderId="0" xfId="2" applyNumberFormat="1" applyFont="1" applyFill="1" applyBorder="1"/>
    <xf numFmtId="0" fontId="5" fillId="2" borderId="0" xfId="0" applyFont="1" applyFill="1"/>
    <xf numFmtId="0" fontId="2" fillId="5" borderId="24" xfId="0" applyFont="1" applyFill="1" applyBorder="1"/>
    <xf numFmtId="0" fontId="2" fillId="5" borderId="26" xfId="0" applyFont="1" applyFill="1" applyBorder="1"/>
    <xf numFmtId="0" fontId="0" fillId="0" borderId="55" xfId="0" applyBorder="1"/>
    <xf numFmtId="0" fontId="0" fillId="0" borderId="56" xfId="0" applyBorder="1"/>
    <xf numFmtId="0" fontId="9" fillId="5" borderId="46" xfId="0" applyFont="1" applyFill="1" applyBorder="1"/>
    <xf numFmtId="0" fontId="0" fillId="4" borderId="41" xfId="0" applyFill="1" applyBorder="1"/>
    <xf numFmtId="0" fontId="0" fillId="0" borderId="22" xfId="0" applyBorder="1"/>
    <xf numFmtId="0" fontId="0" fillId="0" borderId="1" xfId="0" applyBorder="1"/>
    <xf numFmtId="0" fontId="0" fillId="4" borderId="1" xfId="0" applyFill="1" applyBorder="1"/>
    <xf numFmtId="0" fontId="9" fillId="0" borderId="0" xfId="0" applyFont="1" applyFill="1" applyBorder="1"/>
    <xf numFmtId="0" fontId="5" fillId="0" borderId="0" xfId="0" applyFont="1" applyFill="1"/>
    <xf numFmtId="0" fontId="0" fillId="0" borderId="35" xfId="0" applyBorder="1"/>
    <xf numFmtId="0" fontId="0" fillId="0" borderId="19" xfId="0" applyBorder="1"/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9" fillId="5" borderId="9" xfId="0" applyFont="1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0" borderId="26" xfId="0" applyBorder="1" applyAlignment="1">
      <alignment horizontal="center"/>
    </xf>
    <xf numFmtId="1" fontId="9" fillId="5" borderId="9" xfId="0" applyNumberFormat="1" applyFont="1" applyFill="1" applyBorder="1" applyAlignment="1">
      <alignment horizontal="center"/>
    </xf>
    <xf numFmtId="0" fontId="0" fillId="4" borderId="26" xfId="0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center"/>
    </xf>
    <xf numFmtId="0" fontId="2" fillId="5" borderId="11" xfId="0" applyFont="1" applyFill="1" applyBorder="1" applyAlignment="1">
      <alignment horizontal="left"/>
    </xf>
    <xf numFmtId="0" fontId="3" fillId="4" borderId="11" xfId="0" applyFont="1" applyFill="1" applyBorder="1" applyAlignment="1">
      <alignment horizontal="center"/>
    </xf>
    <xf numFmtId="0" fontId="0" fillId="0" borderId="11" xfId="0" applyBorder="1" applyAlignment="1">
      <alignment horizontal="right"/>
    </xf>
    <xf numFmtId="1" fontId="9" fillId="5" borderId="11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9" fillId="5" borderId="0" xfId="0" applyFont="1" applyFill="1"/>
    <xf numFmtId="0" fontId="9" fillId="5" borderId="11" xfId="0" applyFont="1" applyFill="1" applyBorder="1" applyAlignment="1">
      <alignment horizontal="center"/>
    </xf>
    <xf numFmtId="168" fontId="9" fillId="5" borderId="11" xfId="0" applyNumberFormat="1" applyFont="1" applyFill="1" applyBorder="1" applyAlignment="1">
      <alignment horizontal="center"/>
    </xf>
    <xf numFmtId="0" fontId="2" fillId="5" borderId="1" xfId="0" applyFont="1" applyFill="1" applyBorder="1" applyAlignment="1">
      <alignment horizontal="left" vertical="center"/>
    </xf>
    <xf numFmtId="166" fontId="9" fillId="5" borderId="11" xfId="0" applyNumberFormat="1" applyFont="1" applyFill="1" applyBorder="1" applyAlignment="1">
      <alignment horizontal="center"/>
    </xf>
    <xf numFmtId="167" fontId="0" fillId="4" borderId="11" xfId="0" applyNumberFormat="1" applyFill="1" applyBorder="1"/>
    <xf numFmtId="0" fontId="2" fillId="5" borderId="21" xfId="0" applyFont="1" applyFill="1" applyBorder="1"/>
    <xf numFmtId="0" fontId="2" fillId="5" borderId="34" xfId="0" applyFont="1" applyFill="1" applyBorder="1" applyAlignment="1">
      <alignment horizontal="center"/>
    </xf>
    <xf numFmtId="0" fontId="2" fillId="5" borderId="35" xfId="0" applyFont="1" applyFill="1" applyBorder="1" applyAlignment="1">
      <alignment horizontal="center"/>
    </xf>
    <xf numFmtId="0" fontId="2" fillId="5" borderId="48" xfId="0" applyFont="1" applyFill="1" applyBorder="1" applyAlignment="1">
      <alignment horizontal="center"/>
    </xf>
    <xf numFmtId="0" fontId="2" fillId="5" borderId="31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8" fontId="0" fillId="0" borderId="11" xfId="0" applyNumberForma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3" fillId="0" borderId="0" xfId="0" applyFont="1" applyFill="1" applyBorder="1"/>
    <xf numFmtId="9" fontId="5" fillId="0" borderId="0" xfId="2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0" fontId="2" fillId="5" borderId="15" xfId="0" applyFont="1" applyFill="1" applyBorder="1"/>
    <xf numFmtId="9" fontId="2" fillId="5" borderId="43" xfId="2" applyFont="1" applyFill="1" applyBorder="1"/>
    <xf numFmtId="43" fontId="5" fillId="0" borderId="1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/>
    <xf numFmtId="0" fontId="2" fillId="5" borderId="1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14" fillId="0" borderId="0" xfId="0" applyFont="1" applyAlignment="1">
      <alignment horizontal="left"/>
    </xf>
    <xf numFmtId="0" fontId="15" fillId="0" borderId="11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/>
    </xf>
    <xf numFmtId="1" fontId="0" fillId="0" borderId="11" xfId="0" applyNumberFormat="1" applyFont="1" applyBorder="1"/>
    <xf numFmtId="1" fontId="10" fillId="0" borderId="11" xfId="0" applyNumberFormat="1" applyFont="1" applyFill="1" applyBorder="1" applyAlignment="1">
      <alignment horizontal="center" vertical="center" wrapText="1"/>
    </xf>
    <xf numFmtId="2" fontId="16" fillId="0" borderId="11" xfId="0" applyNumberFormat="1" applyFont="1" applyFill="1" applyBorder="1" applyAlignment="1">
      <alignment horizontal="center" readingOrder="1"/>
    </xf>
    <xf numFmtId="0" fontId="15" fillId="0" borderId="28" xfId="0" applyFont="1" applyBorder="1" applyAlignment="1">
      <alignment horizontal="center" vertical="top" wrapText="1"/>
    </xf>
    <xf numFmtId="0" fontId="15" fillId="0" borderId="57" xfId="0" applyFont="1" applyBorder="1" applyAlignment="1">
      <alignment horizontal="center" vertical="top" wrapText="1"/>
    </xf>
    <xf numFmtId="0" fontId="15" fillId="0" borderId="58" xfId="0" applyFont="1" applyBorder="1" applyAlignment="1">
      <alignment horizontal="center" vertical="top" wrapText="1"/>
    </xf>
    <xf numFmtId="0" fontId="17" fillId="0" borderId="11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center"/>
    </xf>
    <xf numFmtId="2" fontId="18" fillId="0" borderId="0" xfId="0" applyNumberFormat="1" applyFont="1" applyBorder="1" applyAlignment="1">
      <alignment horizontal="center" readingOrder="1"/>
    </xf>
    <xf numFmtId="0" fontId="15" fillId="0" borderId="31" xfId="0" applyFont="1" applyBorder="1" applyAlignment="1">
      <alignment horizontal="center" vertical="top" wrapText="1"/>
    </xf>
    <xf numFmtId="0" fontId="17" fillId="0" borderId="32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top" wrapText="1"/>
    </xf>
    <xf numFmtId="2" fontId="19" fillId="0" borderId="0" xfId="0" applyNumberFormat="1" applyFont="1" applyAlignment="1">
      <alignment horizontal="center" readingOrder="1"/>
    </xf>
    <xf numFmtId="0" fontId="0" fillId="0" borderId="11" xfId="0" applyFont="1" applyBorder="1"/>
    <xf numFmtId="2" fontId="19" fillId="0" borderId="0" xfId="0" applyNumberFormat="1" applyFont="1" applyBorder="1" applyAlignment="1">
      <alignment horizontal="center" readingOrder="1"/>
    </xf>
    <xf numFmtId="0" fontId="17" fillId="0" borderId="0" xfId="0" applyFont="1" applyBorder="1" applyAlignment="1">
      <alignment horizontal="center" vertical="top" wrapText="1"/>
    </xf>
    <xf numFmtId="0" fontId="15" fillId="0" borderId="0" xfId="0" applyFont="1" applyFill="1" applyBorder="1" applyAlignment="1">
      <alignment horizontal="center" vertical="top" wrapText="1"/>
    </xf>
    <xf numFmtId="0" fontId="17" fillId="0" borderId="0" xfId="0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readingOrder="1"/>
    </xf>
    <xf numFmtId="0" fontId="15" fillId="0" borderId="25" xfId="0" applyFont="1" applyBorder="1" applyAlignment="1">
      <alignment horizontal="center" vertical="top" wrapText="1"/>
    </xf>
    <xf numFmtId="0" fontId="15" fillId="0" borderId="26" xfId="0" applyFont="1" applyBorder="1" applyAlignment="1">
      <alignment horizontal="center" vertical="top" wrapText="1"/>
    </xf>
    <xf numFmtId="0" fontId="15" fillId="9" borderId="31" xfId="0" applyFont="1" applyFill="1" applyBorder="1" applyAlignment="1">
      <alignment horizontal="center" vertical="top" wrapText="1"/>
    </xf>
    <xf numFmtId="2" fontId="19" fillId="9" borderId="32" xfId="0" applyNumberFormat="1" applyFont="1" applyFill="1" applyBorder="1" applyAlignment="1">
      <alignment horizontal="center" readingOrder="1"/>
    </xf>
    <xf numFmtId="2" fontId="19" fillId="9" borderId="33" xfId="0" applyNumberFormat="1" applyFont="1" applyFill="1" applyBorder="1" applyAlignment="1">
      <alignment horizontal="center" readingOrder="1"/>
    </xf>
    <xf numFmtId="9" fontId="2" fillId="5" borderId="11" xfId="2" applyFont="1" applyFill="1" applyBorder="1"/>
    <xf numFmtId="0" fontId="15" fillId="0" borderId="15" xfId="0" applyFont="1" applyBorder="1" applyAlignment="1">
      <alignment horizontal="center" vertical="top" wrapText="1"/>
    </xf>
    <xf numFmtId="0" fontId="5" fillId="2" borderId="14" xfId="0" applyFont="1" applyFill="1" applyBorder="1"/>
    <xf numFmtId="0" fontId="5" fillId="2" borderId="11" xfId="0" applyFont="1" applyFill="1" applyBorder="1"/>
    <xf numFmtId="0" fontId="3" fillId="10" borderId="28" xfId="0" applyFont="1" applyFill="1" applyBorder="1" applyAlignment="1">
      <alignment horizontal="center"/>
    </xf>
    <xf numFmtId="2" fontId="19" fillId="10" borderId="0" xfId="0" applyNumberFormat="1" applyFont="1" applyFill="1" applyAlignment="1">
      <alignment horizontal="center" readingOrder="1"/>
    </xf>
    <xf numFmtId="0" fontId="15" fillId="0" borderId="59" xfId="0" applyFont="1" applyBorder="1" applyAlignment="1">
      <alignment horizontal="center" vertical="top" wrapText="1"/>
    </xf>
    <xf numFmtId="0" fontId="17" fillId="0" borderId="28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169" fontId="0" fillId="0" borderId="11" xfId="0" applyNumberFormat="1" applyBorder="1" applyAlignment="1">
      <alignment horizontal="center"/>
    </xf>
    <xf numFmtId="0" fontId="4" fillId="5" borderId="15" xfId="0" applyFont="1" applyFill="1" applyBorder="1"/>
    <xf numFmtId="1" fontId="10" fillId="0" borderId="14" xfId="0" applyNumberFormat="1" applyFont="1" applyFill="1" applyBorder="1" applyAlignment="1">
      <alignment horizontal="center" vertical="center" wrapText="1"/>
    </xf>
    <xf numFmtId="2" fontId="19" fillId="0" borderId="11" xfId="0" applyNumberFormat="1" applyFont="1" applyFill="1" applyBorder="1" applyAlignment="1">
      <alignment horizontal="center" readingOrder="1"/>
    </xf>
    <xf numFmtId="0" fontId="14" fillId="0" borderId="0" xfId="0" applyFont="1" applyAlignment="1">
      <alignment horizontal="center"/>
    </xf>
    <xf numFmtId="0" fontId="17" fillId="0" borderId="25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readingOrder="1"/>
    </xf>
    <xf numFmtId="2" fontId="18" fillId="0" borderId="0" xfId="0" applyNumberFormat="1" applyFont="1" applyFill="1" applyBorder="1" applyAlignment="1">
      <alignment horizontal="center" readingOrder="1"/>
    </xf>
    <xf numFmtId="0" fontId="15" fillId="10" borderId="28" xfId="0" applyFont="1" applyFill="1" applyBorder="1" applyAlignment="1">
      <alignment horizontal="center" vertical="top" wrapText="1"/>
    </xf>
    <xf numFmtId="2" fontId="0" fillId="10" borderId="0" xfId="0" applyNumberFormat="1" applyFill="1"/>
    <xf numFmtId="2" fontId="0" fillId="0" borderId="11" xfId="0" applyNumberFormat="1" applyFill="1" applyBorder="1" applyAlignment="1">
      <alignment horizontal="center"/>
    </xf>
    <xf numFmtId="1" fontId="5" fillId="2" borderId="11" xfId="0" applyNumberFormat="1" applyFont="1" applyFill="1" applyBorder="1"/>
    <xf numFmtId="0" fontId="20" fillId="0" borderId="0" xfId="0" applyFont="1"/>
    <xf numFmtId="0" fontId="0" fillId="0" borderId="0" xfId="0" applyAlignment="1">
      <alignment horizontal="right"/>
    </xf>
    <xf numFmtId="0" fontId="0" fillId="2" borderId="10" xfId="0" applyFill="1" applyBorder="1" applyAlignment="1">
      <alignment horizontal="right"/>
    </xf>
    <xf numFmtId="0" fontId="0" fillId="2" borderId="13" xfId="0" applyFill="1" applyBorder="1"/>
    <xf numFmtId="9" fontId="4" fillId="5" borderId="34" xfId="0" applyNumberFormat="1" applyFont="1" applyFill="1" applyBorder="1"/>
    <xf numFmtId="0" fontId="21" fillId="0" borderId="0" xfId="0" applyFont="1"/>
    <xf numFmtId="43" fontId="23" fillId="0" borderId="0" xfId="3" applyNumberFormat="1" applyFont="1" applyAlignment="1" applyProtection="1">
      <alignment horizontal="right"/>
    </xf>
    <xf numFmtId="0" fontId="0" fillId="0" borderId="0" xfId="0" applyAlignment="1">
      <alignment horizontal="left"/>
    </xf>
    <xf numFmtId="0" fontId="0" fillId="11" borderId="0" xfId="0" applyFill="1" applyAlignment="1">
      <alignment horizontal="left"/>
    </xf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 horizontal="left"/>
    </xf>
    <xf numFmtId="0" fontId="0" fillId="11" borderId="0" xfId="0" applyFill="1" applyAlignment="1">
      <alignment horizontal="right"/>
    </xf>
    <xf numFmtId="0" fontId="20" fillId="11" borderId="0" xfId="0" applyFont="1" applyFill="1"/>
    <xf numFmtId="0" fontId="0" fillId="11" borderId="0" xfId="0" applyFill="1"/>
    <xf numFmtId="0" fontId="0" fillId="11" borderId="1" xfId="0" applyFill="1" applyBorder="1" applyAlignment="1">
      <alignment horizontal="left"/>
    </xf>
    <xf numFmtId="0" fontId="4" fillId="0" borderId="0" xfId="0" applyFont="1" applyFill="1" applyBorder="1"/>
    <xf numFmtId="2" fontId="10" fillId="0" borderId="11" xfId="0" applyNumberFormat="1" applyFont="1" applyFill="1" applyBorder="1" applyAlignment="1">
      <alignment horizontal="center"/>
    </xf>
    <xf numFmtId="0" fontId="4" fillId="5" borderId="26" xfId="0" applyFont="1" applyFill="1" applyBorder="1"/>
    <xf numFmtId="1" fontId="4" fillId="5" borderId="33" xfId="0" applyNumberFormat="1" applyFont="1" applyFill="1" applyBorder="1"/>
    <xf numFmtId="0" fontId="15" fillId="0" borderId="0" xfId="0" applyFont="1" applyBorder="1" applyAlignment="1">
      <alignment horizontal="center" vertical="top" wrapText="1"/>
    </xf>
    <xf numFmtId="1" fontId="10" fillId="0" borderId="0" xfId="0" applyNumberFormat="1" applyFont="1" applyFill="1" applyBorder="1" applyAlignment="1">
      <alignment horizontal="center" vertical="center" wrapText="1"/>
    </xf>
    <xf numFmtId="2" fontId="16" fillId="0" borderId="0" xfId="0" applyNumberFormat="1" applyFont="1" applyFill="1" applyBorder="1" applyAlignment="1">
      <alignment horizontal="center" readingOrder="1"/>
    </xf>
    <xf numFmtId="2" fontId="0" fillId="0" borderId="0" xfId="0" applyNumberFormat="1" applyBorder="1"/>
    <xf numFmtId="0" fontId="0" fillId="0" borderId="0" xfId="0" applyFont="1" applyFill="1" applyBorder="1" applyAlignment="1">
      <alignment horizontal="center"/>
    </xf>
    <xf numFmtId="1" fontId="0" fillId="0" borderId="0" xfId="0" applyNumberFormat="1" applyFont="1" applyFill="1" applyBorder="1"/>
    <xf numFmtId="2" fontId="0" fillId="0" borderId="0" xfId="0" applyNumberFormat="1" applyFill="1" applyBorder="1"/>
    <xf numFmtId="2" fontId="10" fillId="0" borderId="0" xfId="0" applyNumberFormat="1" applyFont="1" applyFill="1" applyBorder="1" applyAlignment="1">
      <alignment horizontal="center"/>
    </xf>
    <xf numFmtId="0" fontId="0" fillId="0" borderId="0" xfId="0" applyBorder="1" applyAlignment="1"/>
    <xf numFmtId="0" fontId="0" fillId="0" borderId="0" xfId="0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0" fontId="0" fillId="0" borderId="11" xfId="0" applyFill="1" applyBorder="1" applyAlignment="1">
      <alignment horizontal="center" wrapText="1"/>
    </xf>
    <xf numFmtId="0" fontId="0" fillId="0" borderId="11" xfId="0" applyFill="1" applyBorder="1" applyAlignment="1">
      <alignment horizontal="center" vertical="center" wrapText="1"/>
    </xf>
    <xf numFmtId="0" fontId="3" fillId="2" borderId="11" xfId="0" applyFont="1" applyFill="1" applyBorder="1"/>
    <xf numFmtId="1" fontId="3" fillId="2" borderId="11" xfId="0" applyNumberFormat="1" applyFont="1" applyFill="1" applyBorder="1"/>
    <xf numFmtId="1" fontId="3" fillId="0" borderId="0" xfId="0" applyNumberFormat="1" applyFont="1" applyFill="1" applyBorder="1"/>
    <xf numFmtId="0" fontId="0" fillId="12" borderId="0" xfId="0" applyFill="1" applyBorder="1"/>
    <xf numFmtId="0" fontId="24" fillId="13" borderId="17" xfId="0" applyFont="1" applyFill="1" applyBorder="1"/>
    <xf numFmtId="0" fontId="24" fillId="13" borderId="22" xfId="0" applyFont="1" applyFill="1" applyBorder="1"/>
    <xf numFmtId="0" fontId="24" fillId="13" borderId="21" xfId="0" applyFont="1" applyFill="1" applyBorder="1" applyAlignment="1">
      <alignment wrapText="1"/>
    </xf>
    <xf numFmtId="0" fontId="24" fillId="13" borderId="12" xfId="0" applyFont="1" applyFill="1" applyBorder="1" applyAlignment="1">
      <alignment wrapText="1"/>
    </xf>
    <xf numFmtId="0" fontId="24" fillId="13" borderId="36" xfId="0" applyFont="1" applyFill="1" applyBorder="1" applyAlignment="1">
      <alignment wrapText="1"/>
    </xf>
    <xf numFmtId="0" fontId="24" fillId="13" borderId="0" xfId="0" applyFont="1" applyFill="1" applyBorder="1" applyAlignment="1">
      <alignment wrapText="1"/>
    </xf>
    <xf numFmtId="4" fontId="25" fillId="0" borderId="14" xfId="0" applyNumberFormat="1" applyFont="1" applyBorder="1"/>
    <xf numFmtId="4" fontId="26" fillId="0" borderId="14" xfId="0" applyNumberFormat="1" applyFont="1" applyBorder="1" applyAlignment="1">
      <alignment vertical="top" wrapText="1"/>
    </xf>
    <xf numFmtId="4" fontId="0" fillId="0" borderId="14" xfId="0" applyNumberFormat="1" applyBorder="1"/>
    <xf numFmtId="4" fontId="0" fillId="0" borderId="11" xfId="0" applyNumberFormat="1" applyFill="1" applyBorder="1"/>
    <xf numFmtId="4" fontId="0" fillId="0" borderId="11" xfId="0" applyNumberFormat="1" applyBorder="1"/>
    <xf numFmtId="4" fontId="0" fillId="0" borderId="15" xfId="0" applyNumberFormat="1" applyBorder="1"/>
    <xf numFmtId="0" fontId="24" fillId="13" borderId="21" xfId="0" applyFont="1" applyFill="1" applyBorder="1"/>
    <xf numFmtId="2" fontId="24" fillId="13" borderId="21" xfId="0" applyNumberFormat="1" applyFont="1" applyFill="1" applyBorder="1"/>
    <xf numFmtId="2" fontId="24" fillId="13" borderId="45" xfId="0" applyNumberFormat="1" applyFont="1" applyFill="1" applyBorder="1"/>
    <xf numFmtId="2" fontId="4" fillId="0" borderId="0" xfId="0" applyNumberFormat="1" applyFont="1"/>
    <xf numFmtId="9" fontId="0" fillId="0" borderId="0" xfId="2" applyFont="1"/>
    <xf numFmtId="0" fontId="0" fillId="14" borderId="11" xfId="0" applyFill="1" applyBorder="1" applyAlignment="1">
      <alignment horizontal="left"/>
    </xf>
    <xf numFmtId="0" fontId="0" fillId="14" borderId="11" xfId="0" applyFill="1" applyBorder="1"/>
    <xf numFmtId="0" fontId="0" fillId="11" borderId="11" xfId="0" applyFill="1" applyBorder="1"/>
    <xf numFmtId="2" fontId="27" fillId="13" borderId="11" xfId="0" applyNumberFormat="1" applyFont="1" applyFill="1" applyBorder="1" applyAlignment="1">
      <alignment horizontal="center"/>
    </xf>
    <xf numFmtId="0" fontId="27" fillId="13" borderId="11" xfId="0" applyFont="1" applyFill="1" applyBorder="1"/>
    <xf numFmtId="0" fontId="0" fillId="0" borderId="11" xfId="0" applyBorder="1" applyAlignment="1">
      <alignment horizontal="left" indent="6"/>
    </xf>
    <xf numFmtId="0" fontId="0" fillId="0" borderId="0" xfId="0" applyBorder="1" applyAlignment="1">
      <alignment horizontal="left" indent="6"/>
    </xf>
    <xf numFmtId="0" fontId="0" fillId="0" borderId="18" xfId="0" applyBorder="1"/>
    <xf numFmtId="0" fontId="28" fillId="0" borderId="11" xfId="0" applyFont="1" applyBorder="1" applyAlignment="1">
      <alignment horizontal="left" indent="6"/>
    </xf>
    <xf numFmtId="0" fontId="0" fillId="11" borderId="11" xfId="0" applyFill="1" applyBorder="1" applyAlignment="1">
      <alignment horizontal="center"/>
    </xf>
    <xf numFmtId="10" fontId="0" fillId="11" borderId="11" xfId="0" applyNumberFormat="1" applyFill="1" applyBorder="1" applyAlignment="1">
      <alignment horizontal="center"/>
    </xf>
    <xf numFmtId="10" fontId="0" fillId="14" borderId="11" xfId="0" applyNumberFormat="1" applyFill="1" applyBorder="1" applyAlignment="1">
      <alignment horizontal="center"/>
    </xf>
    <xf numFmtId="2" fontId="0" fillId="14" borderId="11" xfId="0" applyNumberFormat="1" applyFill="1" applyBorder="1" applyAlignment="1">
      <alignment horizontal="center"/>
    </xf>
    <xf numFmtId="2" fontId="1" fillId="14" borderId="54" xfId="2" applyNumberFormat="1" applyFont="1" applyFill="1" applyBorder="1" applyAlignment="1">
      <alignment horizontal="center"/>
    </xf>
    <xf numFmtId="170" fontId="0" fillId="14" borderId="11" xfId="0" applyNumberFormat="1" applyFill="1" applyBorder="1" applyAlignment="1">
      <alignment horizontal="center"/>
    </xf>
    <xf numFmtId="1" fontId="0" fillId="0" borderId="11" xfId="0" applyNumberFormat="1" applyBorder="1" applyAlignment="1">
      <alignment horizontal="right"/>
    </xf>
    <xf numFmtId="1" fontId="0" fillId="0" borderId="0" xfId="0" applyNumberFormat="1" applyFill="1" applyBorder="1"/>
    <xf numFmtId="2" fontId="0" fillId="0" borderId="1" xfId="0" applyNumberFormat="1" applyBorder="1"/>
    <xf numFmtId="0" fontId="0" fillId="0" borderId="54" xfId="0" applyBorder="1"/>
    <xf numFmtId="0" fontId="0" fillId="0" borderId="61" xfId="0" applyBorder="1"/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0" fillId="0" borderId="62" xfId="0" applyBorder="1"/>
    <xf numFmtId="0" fontId="0" fillId="0" borderId="63" xfId="0" applyBorder="1"/>
    <xf numFmtId="0" fontId="0" fillId="0" borderId="64" xfId="0" applyBorder="1"/>
    <xf numFmtId="0" fontId="0" fillId="0" borderId="30" xfId="0" applyBorder="1"/>
    <xf numFmtId="0" fontId="0" fillId="0" borderId="65" xfId="0" applyBorder="1"/>
    <xf numFmtId="0" fontId="0" fillId="0" borderId="1" xfId="0" applyFill="1" applyBorder="1" applyAlignment="1">
      <alignment horizontal="center"/>
    </xf>
    <xf numFmtId="0" fontId="0" fillId="0" borderId="66" xfId="0" applyBorder="1"/>
    <xf numFmtId="0" fontId="0" fillId="0" borderId="27" xfId="0" applyBorder="1"/>
    <xf numFmtId="165" fontId="0" fillId="0" borderId="41" xfId="2" applyNumberFormat="1" applyFont="1" applyBorder="1" applyAlignment="1">
      <alignment horizontal="center"/>
    </xf>
    <xf numFmtId="10" fontId="0" fillId="0" borderId="42" xfId="2" applyNumberFormat="1" applyFont="1" applyBorder="1" applyAlignment="1">
      <alignment horizontal="center"/>
    </xf>
    <xf numFmtId="9" fontId="0" fillId="0" borderId="46" xfId="2" applyFont="1" applyBorder="1" applyAlignment="1">
      <alignment horizontal="center"/>
    </xf>
    <xf numFmtId="2" fontId="4" fillId="5" borderId="1" xfId="0" applyNumberFormat="1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9" xfId="0" applyFont="1" applyFill="1" applyBorder="1" applyAlignment="1">
      <alignment horizontal="center"/>
    </xf>
    <xf numFmtId="0" fontId="0" fillId="0" borderId="38" xfId="0" applyFill="1" applyBorder="1"/>
    <xf numFmtId="0" fontId="0" fillId="0" borderId="39" xfId="0" applyFill="1" applyBorder="1"/>
    <xf numFmtId="0" fontId="0" fillId="0" borderId="37" xfId="0" applyFill="1" applyBorder="1"/>
    <xf numFmtId="0" fontId="0" fillId="0" borderId="65" xfId="0" applyFill="1" applyBorder="1"/>
    <xf numFmtId="0" fontId="0" fillId="0" borderId="1" xfId="0" applyFill="1" applyBorder="1"/>
    <xf numFmtId="9" fontId="0" fillId="0" borderId="1" xfId="2" applyFont="1" applyBorder="1" applyAlignment="1">
      <alignment horizontal="center"/>
    </xf>
    <xf numFmtId="165" fontId="0" fillId="0" borderId="1" xfId="2" applyNumberFormat="1" applyFont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/>
    <xf numFmtId="0" fontId="3" fillId="0" borderId="0" xfId="0" applyFont="1" applyFill="1"/>
    <xf numFmtId="0" fontId="3" fillId="0" borderId="38" xfId="0" applyFont="1" applyFill="1" applyBorder="1"/>
    <xf numFmtId="0" fontId="3" fillId="0" borderId="39" xfId="0" applyFont="1" applyFill="1" applyBorder="1"/>
    <xf numFmtId="0" fontId="3" fillId="0" borderId="37" xfId="0" applyFont="1" applyFill="1" applyBorder="1"/>
    <xf numFmtId="0" fontId="3" fillId="0" borderId="65" xfId="0" applyFont="1" applyFill="1" applyBorder="1"/>
    <xf numFmtId="0" fontId="3" fillId="0" borderId="47" xfId="0" applyFont="1" applyFill="1" applyBorder="1"/>
    <xf numFmtId="0" fontId="3" fillId="0" borderId="1" xfId="0" applyFont="1" applyFill="1" applyBorder="1"/>
    <xf numFmtId="0" fontId="3" fillId="0" borderId="11" xfId="0" applyFont="1" applyFill="1" applyBorder="1"/>
    <xf numFmtId="0" fontId="3" fillId="0" borderId="0" xfId="0" applyFont="1" applyFill="1" applyBorder="1" applyAlignment="1"/>
    <xf numFmtId="0" fontId="0" fillId="0" borderId="11" xfId="0" applyFill="1" applyBorder="1" applyAlignment="1">
      <alignment horizontal="center"/>
    </xf>
    <xf numFmtId="0" fontId="0" fillId="5" borderId="11" xfId="0" applyFill="1" applyBorder="1"/>
    <xf numFmtId="0" fontId="0" fillId="0" borderId="14" xfId="0" applyFill="1" applyBorder="1" applyAlignment="1">
      <alignment horizontal="center"/>
    </xf>
    <xf numFmtId="0" fontId="2" fillId="5" borderId="18" xfId="0" applyFont="1" applyFill="1" applyBorder="1" applyAlignment="1">
      <alignment horizontal="center"/>
    </xf>
    <xf numFmtId="0" fontId="0" fillId="0" borderId="0" xfId="0" applyAlignment="1">
      <alignment horizontal="left" vertical="top"/>
    </xf>
    <xf numFmtId="0" fontId="0" fillId="0" borderId="6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7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67" xfId="0" applyBorder="1"/>
    <xf numFmtId="0" fontId="0" fillId="0" borderId="68" xfId="0" applyBorder="1"/>
    <xf numFmtId="0" fontId="0" fillId="0" borderId="69" xfId="0" applyBorder="1"/>
    <xf numFmtId="2" fontId="0" fillId="0" borderId="0" xfId="0" applyNumberFormat="1" applyBorder="1" applyAlignment="1">
      <alignment horizontal="center"/>
    </xf>
    <xf numFmtId="2" fontId="0" fillId="0" borderId="70" xfId="0" applyNumberFormat="1" applyBorder="1" applyAlignment="1">
      <alignment horizontal="center"/>
    </xf>
    <xf numFmtId="0" fontId="0" fillId="0" borderId="71" xfId="0" applyBorder="1"/>
    <xf numFmtId="0" fontId="0" fillId="0" borderId="16" xfId="0" applyBorder="1"/>
    <xf numFmtId="2" fontId="0" fillId="0" borderId="18" xfId="0" applyNumberFormat="1" applyBorder="1" applyAlignment="1">
      <alignment horizontal="center"/>
    </xf>
    <xf numFmtId="0" fontId="0" fillId="0" borderId="72" xfId="0" applyBorder="1"/>
    <xf numFmtId="0" fontId="0" fillId="0" borderId="70" xfId="0" applyBorder="1" applyAlignment="1">
      <alignment horizontal="center"/>
    </xf>
    <xf numFmtId="0" fontId="0" fillId="0" borderId="72" xfId="0" applyBorder="1" applyAlignment="1">
      <alignment horizontal="center"/>
    </xf>
    <xf numFmtId="0" fontId="0" fillId="0" borderId="73" xfId="0" applyBorder="1" applyAlignment="1">
      <alignment horizontal="center"/>
    </xf>
    <xf numFmtId="2" fontId="29" fillId="0" borderId="71" xfId="0" applyNumberFormat="1" applyFont="1" applyBorder="1" applyAlignment="1">
      <alignment horizontal="center"/>
    </xf>
    <xf numFmtId="2" fontId="29" fillId="0" borderId="72" xfId="0" applyNumberFormat="1" applyFont="1" applyBorder="1" applyAlignment="1">
      <alignment horizontal="center"/>
    </xf>
    <xf numFmtId="2" fontId="29" fillId="0" borderId="73" xfId="0" applyNumberFormat="1" applyFont="1" applyBorder="1" applyAlignment="1">
      <alignment horizontal="center"/>
    </xf>
    <xf numFmtId="1" fontId="0" fillId="0" borderId="40" xfId="0" applyNumberFormat="1" applyBorder="1" applyAlignment="1">
      <alignment horizontal="center"/>
    </xf>
    <xf numFmtId="1" fontId="0" fillId="0" borderId="63" xfId="0" applyNumberFormat="1" applyBorder="1" applyAlignment="1">
      <alignment horizontal="center"/>
    </xf>
    <xf numFmtId="1" fontId="0" fillId="0" borderId="54" xfId="0" applyNumberFormat="1" applyBorder="1" applyAlignment="1">
      <alignment horizontal="center"/>
    </xf>
    <xf numFmtId="2" fontId="0" fillId="0" borderId="71" xfId="0" applyNumberFormat="1" applyBorder="1" applyAlignment="1">
      <alignment horizontal="center"/>
    </xf>
    <xf numFmtId="2" fontId="0" fillId="0" borderId="72" xfId="0" applyNumberFormat="1" applyBorder="1" applyAlignment="1">
      <alignment horizontal="center"/>
    </xf>
    <xf numFmtId="2" fontId="0" fillId="0" borderId="73" xfId="0" applyNumberFormat="1" applyBorder="1" applyAlignment="1">
      <alignment horizontal="center"/>
    </xf>
    <xf numFmtId="2" fontId="0" fillId="0" borderId="68" xfId="0" applyNumberFormat="1" applyBorder="1" applyAlignment="1">
      <alignment horizontal="center"/>
    </xf>
    <xf numFmtId="2" fontId="0" fillId="0" borderId="67" xfId="0" applyNumberFormat="1" applyBorder="1" applyAlignment="1">
      <alignment horizontal="center"/>
    </xf>
    <xf numFmtId="2" fontId="0" fillId="0" borderId="69" xfId="0" applyNumberFormat="1" applyBorder="1" applyAlignment="1">
      <alignment horizontal="center"/>
    </xf>
    <xf numFmtId="1" fontId="0" fillId="0" borderId="67" xfId="0" applyNumberFormat="1" applyBorder="1" applyAlignment="1">
      <alignment horizontal="center"/>
    </xf>
    <xf numFmtId="1" fontId="0" fillId="0" borderId="68" xfId="0" applyNumberFormat="1" applyBorder="1" applyAlignment="1">
      <alignment horizontal="center"/>
    </xf>
    <xf numFmtId="1" fontId="0" fillId="0" borderId="69" xfId="0" applyNumberFormat="1" applyBorder="1" applyAlignment="1">
      <alignment horizontal="center"/>
    </xf>
    <xf numFmtId="0" fontId="0" fillId="0" borderId="73" xfId="0" applyBorder="1"/>
    <xf numFmtId="0" fontId="0" fillId="0" borderId="40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70" xfId="0" applyBorder="1" applyAlignment="1">
      <alignment horizontal="left"/>
    </xf>
    <xf numFmtId="0" fontId="0" fillId="0" borderId="73" xfId="0" applyBorder="1" applyAlignment="1">
      <alignment horizontal="left"/>
    </xf>
    <xf numFmtId="1" fontId="10" fillId="0" borderId="11" xfId="0" applyNumberFormat="1" applyFont="1" applyFill="1" applyBorder="1" applyAlignment="1">
      <alignment horizontal="center"/>
    </xf>
    <xf numFmtId="0" fontId="0" fillId="0" borderId="18" xfId="0" applyBorder="1" applyAlignment="1">
      <alignment horizontal="left"/>
    </xf>
    <xf numFmtId="165" fontId="0" fillId="0" borderId="11" xfId="2" applyNumberFormat="1" applyFont="1" applyBorder="1"/>
    <xf numFmtId="0" fontId="0" fillId="0" borderId="70" xfId="0" applyBorder="1"/>
    <xf numFmtId="0" fontId="0" fillId="0" borderId="11" xfId="0" applyBorder="1" applyAlignment="1">
      <alignment horizontal="left"/>
    </xf>
    <xf numFmtId="0" fontId="5" fillId="15" borderId="0" xfId="0" applyFont="1" applyFill="1" applyBorder="1" applyAlignment="1">
      <alignment horizontal="center"/>
    </xf>
    <xf numFmtId="0" fontId="0" fillId="15" borderId="0" xfId="0" applyFill="1"/>
    <xf numFmtId="0" fontId="3" fillId="15" borderId="0" xfId="0" applyFont="1" applyFill="1"/>
    <xf numFmtId="0" fontId="4" fillId="5" borderId="16" xfId="0" applyFont="1" applyFill="1" applyBorder="1" applyAlignment="1">
      <alignment horizontal="center"/>
    </xf>
    <xf numFmtId="0" fontId="0" fillId="0" borderId="19" xfId="0" applyFill="1" applyBorder="1"/>
    <xf numFmtId="0" fontId="5" fillId="0" borderId="60" xfId="0" applyFont="1" applyFill="1" applyBorder="1" applyAlignment="1">
      <alignment horizontal="left"/>
    </xf>
    <xf numFmtId="0" fontId="0" fillId="0" borderId="51" xfId="0" applyFill="1" applyBorder="1"/>
    <xf numFmtId="0" fontId="30" fillId="7" borderId="0" xfId="0" applyFont="1" applyFill="1" applyBorder="1" applyAlignment="1">
      <alignment horizontal="left"/>
    </xf>
    <xf numFmtId="0" fontId="31" fillId="7" borderId="0" xfId="0" applyFont="1" applyFill="1"/>
    <xf numFmtId="10" fontId="32" fillId="7" borderId="0" xfId="2" applyNumberFormat="1" applyFont="1" applyFill="1" applyBorder="1" applyAlignment="1">
      <alignment horizontal="center"/>
    </xf>
    <xf numFmtId="0" fontId="5" fillId="0" borderId="35" xfId="0" applyFont="1" applyFill="1" applyBorder="1" applyAlignment="1">
      <alignment horizontal="left"/>
    </xf>
    <xf numFmtId="10" fontId="0" fillId="0" borderId="0" xfId="0" applyNumberFormat="1" applyAlignment="1">
      <alignment horizontal="center"/>
    </xf>
    <xf numFmtId="0" fontId="3" fillId="0" borderId="17" xfId="0" applyFont="1" applyBorder="1"/>
    <xf numFmtId="0" fontId="3" fillId="0" borderId="21" xfId="0" applyFont="1" applyBorder="1"/>
    <xf numFmtId="10" fontId="3" fillId="0" borderId="34" xfId="0" applyNumberFormat="1" applyFont="1" applyBorder="1" applyAlignment="1">
      <alignment horizontal="center"/>
    </xf>
    <xf numFmtId="0" fontId="33" fillId="0" borderId="11" xfId="0" applyFont="1" applyBorder="1" applyAlignment="1">
      <alignment horizontal="center"/>
    </xf>
    <xf numFmtId="0" fontId="2" fillId="5" borderId="15" xfId="0" applyFont="1" applyFill="1" applyBorder="1" applyAlignment="1">
      <alignment horizontal="center"/>
    </xf>
    <xf numFmtId="10" fontId="2" fillId="5" borderId="54" xfId="2" applyNumberFormat="1" applyFont="1" applyFill="1" applyBorder="1" applyAlignment="1">
      <alignment horizontal="center"/>
    </xf>
    <xf numFmtId="1" fontId="5" fillId="0" borderId="11" xfId="0" applyNumberFormat="1" applyFont="1" applyFill="1" applyBorder="1" applyAlignment="1">
      <alignment horizontal="center"/>
    </xf>
    <xf numFmtId="0" fontId="2" fillId="5" borderId="14" xfId="0" applyFont="1" applyFill="1" applyBorder="1" applyAlignment="1">
      <alignment horizontal="center"/>
    </xf>
    <xf numFmtId="9" fontId="2" fillId="5" borderId="11" xfId="2" applyFont="1" applyFill="1" applyBorder="1" applyAlignment="1">
      <alignment horizontal="center"/>
    </xf>
    <xf numFmtId="0" fontId="34" fillId="5" borderId="0" xfId="0" applyFont="1" applyFill="1"/>
    <xf numFmtId="168" fontId="0" fillId="0" borderId="0" xfId="0" applyNumberFormat="1" applyFill="1" applyBorder="1" applyAlignment="1">
      <alignment horizontal="center"/>
    </xf>
    <xf numFmtId="0" fontId="2" fillId="5" borderId="70" xfId="0" applyFont="1" applyFill="1" applyBorder="1" applyAlignment="1">
      <alignment horizontal="center"/>
    </xf>
    <xf numFmtId="1" fontId="10" fillId="0" borderId="0" xfId="0" applyNumberFormat="1" applyFont="1" applyFill="1" applyBorder="1"/>
    <xf numFmtId="168" fontId="0" fillId="0" borderId="0" xfId="0" applyNumberFormat="1" applyBorder="1"/>
    <xf numFmtId="168" fontId="0" fillId="0" borderId="0" xfId="0" applyNumberFormat="1" applyFill="1" applyBorder="1"/>
    <xf numFmtId="1" fontId="0" fillId="11" borderId="11" xfId="0" applyNumberFormat="1" applyFill="1" applyBorder="1" applyAlignment="1">
      <alignment horizontal="center"/>
    </xf>
    <xf numFmtId="1" fontId="0" fillId="0" borderId="11" xfId="0" applyNumberFormat="1" applyFill="1" applyBorder="1" applyAlignment="1">
      <alignment horizontal="center"/>
    </xf>
    <xf numFmtId="166" fontId="0" fillId="0" borderId="11" xfId="0" applyNumberFormat="1" applyFill="1" applyBorder="1"/>
    <xf numFmtId="0" fontId="3" fillId="11" borderId="11" xfId="0" applyFont="1" applyFill="1" applyBorder="1"/>
    <xf numFmtId="165" fontId="7" fillId="5" borderId="35" xfId="2" applyNumberFormat="1" applyFont="1" applyFill="1" applyBorder="1" applyAlignment="1">
      <alignment horizontal="center" vertical="center"/>
    </xf>
    <xf numFmtId="1" fontId="35" fillId="0" borderId="10" xfId="2" applyNumberFormat="1" applyFont="1" applyFill="1" applyBorder="1" applyAlignment="1">
      <alignment horizontal="center" vertical="center"/>
    </xf>
    <xf numFmtId="9" fontId="0" fillId="0" borderId="11" xfId="2" applyFont="1" applyBorder="1" applyAlignment="1">
      <alignment horizontal="center"/>
    </xf>
    <xf numFmtId="9" fontId="2" fillId="5" borderId="17" xfId="0" applyNumberFormat="1" applyFont="1" applyFill="1" applyBorder="1"/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10" fontId="2" fillId="5" borderId="0" xfId="2" applyNumberFormat="1" applyFont="1" applyFill="1"/>
    <xf numFmtId="1" fontId="2" fillId="5" borderId="0" xfId="2" applyNumberFormat="1" applyFont="1" applyFill="1"/>
    <xf numFmtId="2" fontId="2" fillId="5" borderId="0" xfId="2" applyNumberFormat="1" applyFont="1" applyFill="1"/>
    <xf numFmtId="166" fontId="2" fillId="5" borderId="0" xfId="2" applyNumberFormat="1" applyFont="1" applyFill="1"/>
    <xf numFmtId="0" fontId="2" fillId="16" borderId="11" xfId="0" applyFont="1" applyFill="1" applyBorder="1" applyAlignment="1">
      <alignment horizontal="center"/>
    </xf>
    <xf numFmtId="0" fontId="5" fillId="16" borderId="11" xfId="0" applyFont="1" applyFill="1" applyBorder="1" applyAlignment="1">
      <alignment horizontal="center"/>
    </xf>
    <xf numFmtId="0" fontId="0" fillId="16" borderId="11" xfId="0" applyFill="1" applyBorder="1"/>
    <xf numFmtId="0" fontId="10" fillId="16" borderId="11" xfId="0" applyFont="1" applyFill="1" applyBorder="1"/>
    <xf numFmtId="168" fontId="10" fillId="16" borderId="11" xfId="0" applyNumberFormat="1" applyFont="1" applyFill="1" applyBorder="1"/>
    <xf numFmtId="1" fontId="10" fillId="16" borderId="11" xfId="0" applyNumberFormat="1" applyFont="1" applyFill="1" applyBorder="1"/>
    <xf numFmtId="2" fontId="10" fillId="16" borderId="11" xfId="0" applyNumberFormat="1" applyFont="1" applyFill="1" applyBorder="1"/>
    <xf numFmtId="0" fontId="10" fillId="16" borderId="15" xfId="0" applyFont="1" applyFill="1" applyBorder="1"/>
    <xf numFmtId="168" fontId="10" fillId="16" borderId="15" xfId="0" applyNumberFormat="1" applyFont="1" applyFill="1" applyBorder="1"/>
    <xf numFmtId="1" fontId="10" fillId="16" borderId="15" xfId="0" applyNumberFormat="1" applyFont="1" applyFill="1" applyBorder="1"/>
    <xf numFmtId="0" fontId="2" fillId="16" borderId="11" xfId="0" applyFont="1" applyFill="1" applyBorder="1"/>
    <xf numFmtId="0" fontId="2" fillId="16" borderId="40" xfId="0" applyFont="1" applyFill="1" applyBorder="1"/>
    <xf numFmtId="168" fontId="0" fillId="16" borderId="11" xfId="0" applyNumberFormat="1" applyFill="1" applyBorder="1"/>
    <xf numFmtId="0" fontId="10" fillId="16" borderId="14" xfId="0" applyFont="1" applyFill="1" applyBorder="1"/>
    <xf numFmtId="168" fontId="10" fillId="16" borderId="14" xfId="0" applyNumberFormat="1" applyFont="1" applyFill="1" applyBorder="1"/>
    <xf numFmtId="1" fontId="10" fillId="16" borderId="14" xfId="0" applyNumberFormat="1" applyFont="1" applyFill="1" applyBorder="1"/>
    <xf numFmtId="0" fontId="24" fillId="13" borderId="43" xfId="0" applyFont="1" applyFill="1" applyBorder="1"/>
    <xf numFmtId="0" fontId="24" fillId="13" borderId="44" xfId="0" applyFont="1" applyFill="1" applyBorder="1"/>
    <xf numFmtId="2" fontId="24" fillId="13" borderId="44" xfId="0" applyNumberFormat="1" applyFont="1" applyFill="1" applyBorder="1"/>
    <xf numFmtId="4" fontId="25" fillId="0" borderId="11" xfId="0" applyNumberFormat="1" applyFont="1" applyBorder="1"/>
    <xf numFmtId="0" fontId="0" fillId="0" borderId="16" xfId="0" applyFill="1" applyBorder="1"/>
    <xf numFmtId="4" fontId="0" fillId="0" borderId="0" xfId="0" applyNumberFormat="1"/>
    <xf numFmtId="0" fontId="0" fillId="0" borderId="11" xfId="0" applyFill="1" applyBorder="1" applyAlignment="1">
      <alignment horizontal="center" wrapText="1"/>
    </xf>
    <xf numFmtId="1" fontId="0" fillId="0" borderId="0" xfId="0" applyNumberFormat="1" applyBorder="1"/>
    <xf numFmtId="0" fontId="4" fillId="0" borderId="0" xfId="0" applyFont="1" applyFill="1"/>
    <xf numFmtId="3" fontId="0" fillId="0" borderId="11" xfId="0" applyNumberFormat="1" applyBorder="1"/>
    <xf numFmtId="3" fontId="3" fillId="2" borderId="11" xfId="0" applyNumberFormat="1" applyFont="1" applyFill="1" applyBorder="1"/>
    <xf numFmtId="0" fontId="24" fillId="13" borderId="11" xfId="0" applyFont="1" applyFill="1" applyBorder="1" applyAlignment="1">
      <alignment wrapText="1"/>
    </xf>
    <xf numFmtId="4" fontId="3" fillId="0" borderId="0" xfId="0" applyNumberFormat="1" applyFont="1" applyFill="1"/>
    <xf numFmtId="0" fontId="24" fillId="13" borderId="40" xfId="0" applyFont="1" applyFill="1" applyBorder="1" applyAlignment="1">
      <alignment wrapText="1"/>
    </xf>
    <xf numFmtId="3" fontId="0" fillId="0" borderId="40" xfId="0" applyNumberFormat="1" applyBorder="1"/>
    <xf numFmtId="4" fontId="0" fillId="11" borderId="11" xfId="0" applyNumberFormat="1" applyFill="1" applyBorder="1"/>
    <xf numFmtId="4" fontId="3" fillId="11" borderId="11" xfId="0" applyNumberFormat="1" applyFont="1" applyFill="1" applyBorder="1"/>
    <xf numFmtId="4" fontId="3" fillId="7" borderId="11" xfId="0" applyNumberFormat="1" applyFont="1" applyFill="1" applyBorder="1"/>
    <xf numFmtId="4" fontId="0" fillId="0" borderId="0" xfId="0" applyNumberFormat="1" applyFill="1" applyBorder="1"/>
    <xf numFmtId="4" fontId="3" fillId="0" borderId="0" xfId="0" applyNumberFormat="1" applyFont="1" applyFill="1" applyBorder="1"/>
    <xf numFmtId="0" fontId="2" fillId="0" borderId="0" xfId="0" applyFont="1" applyFill="1" applyAlignment="1">
      <alignment horizontal="center"/>
    </xf>
    <xf numFmtId="2" fontId="2" fillId="0" borderId="0" xfId="2" applyNumberFormat="1" applyFont="1" applyFill="1" applyAlignment="1">
      <alignment horizontal="center"/>
    </xf>
    <xf numFmtId="0" fontId="2" fillId="5" borderId="38" xfId="0" applyFont="1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10" fontId="3" fillId="0" borderId="7" xfId="2" applyNumberFormat="1" applyFont="1" applyFill="1" applyBorder="1" applyAlignment="1">
      <alignment horizontal="center" vertical="center" wrapText="1"/>
    </xf>
    <xf numFmtId="10" fontId="3" fillId="0" borderId="9" xfId="2" applyNumberFormat="1" applyFont="1" applyFill="1" applyBorder="1" applyAlignment="1">
      <alignment horizontal="center" vertical="center" wrapText="1"/>
    </xf>
    <xf numFmtId="2" fontId="2" fillId="5" borderId="0" xfId="0" applyNumberFormat="1" applyFont="1" applyFill="1" applyBorder="1" applyAlignment="1">
      <alignment horizontal="left" vertical="top" wrapText="1"/>
    </xf>
    <xf numFmtId="0" fontId="0" fillId="0" borderId="6" xfId="0" applyBorder="1" applyAlignment="1">
      <alignment wrapText="1"/>
    </xf>
    <xf numFmtId="0" fontId="3" fillId="0" borderId="11" xfId="0" applyFont="1" applyBorder="1" applyAlignment="1">
      <alignment horizontal="center" wrapText="1"/>
    </xf>
    <xf numFmtId="2" fontId="5" fillId="2" borderId="67" xfId="0" applyNumberFormat="1" applyFont="1" applyFill="1" applyBorder="1" applyAlignment="1">
      <alignment wrapText="1"/>
    </xf>
    <xf numFmtId="2" fontId="5" fillId="2" borderId="69" xfId="0" applyNumberFormat="1" applyFont="1" applyFill="1" applyBorder="1" applyAlignment="1">
      <alignment wrapText="1"/>
    </xf>
    <xf numFmtId="2" fontId="5" fillId="2" borderId="71" xfId="0" applyNumberFormat="1" applyFont="1" applyFill="1" applyBorder="1" applyAlignment="1">
      <alignment wrapText="1"/>
    </xf>
    <xf numFmtId="2" fontId="5" fillId="2" borderId="73" xfId="0" applyNumberFormat="1" applyFont="1" applyFill="1" applyBorder="1" applyAlignment="1">
      <alignment wrapText="1"/>
    </xf>
    <xf numFmtId="0" fontId="5" fillId="2" borderId="11" xfId="0" applyFont="1" applyFill="1" applyBorder="1" applyAlignment="1">
      <alignment wrapText="1"/>
    </xf>
    <xf numFmtId="0" fontId="0" fillId="0" borderId="11" xfId="0" applyBorder="1" applyAlignment="1">
      <alignment horizontal="center" wrapText="1"/>
    </xf>
    <xf numFmtId="0" fontId="0" fillId="0" borderId="11" xfId="0" applyBorder="1" applyAlignment="1">
      <alignment wrapText="1"/>
    </xf>
    <xf numFmtId="0" fontId="3" fillId="2" borderId="0" xfId="0" applyFont="1" applyFill="1" applyBorder="1" applyAlignment="1">
      <alignment wrapText="1"/>
    </xf>
    <xf numFmtId="0" fontId="0" fillId="0" borderId="72" xfId="0" applyBorder="1" applyAlignment="1">
      <alignment wrapText="1"/>
    </xf>
    <xf numFmtId="0" fontId="12" fillId="5" borderId="37" xfId="0" applyFont="1" applyFill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12" fillId="5" borderId="24" xfId="0" applyFont="1" applyFill="1" applyBorder="1" applyAlignment="1">
      <alignment horizontal="center" vertical="center" wrapText="1"/>
    </xf>
    <xf numFmtId="0" fontId="12" fillId="5" borderId="28" xfId="0" applyFont="1" applyFill="1" applyBorder="1" applyAlignment="1">
      <alignment horizontal="center" vertical="center" wrapText="1"/>
    </xf>
    <xf numFmtId="0" fontId="12" fillId="5" borderId="31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51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67" xfId="0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0" borderId="11" xfId="0" applyFill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</cellXfs>
  <cellStyles count="4">
    <cellStyle name="Hipervínculo" xfId="3" builtinId="8"/>
    <cellStyle name="Moneda" xfId="1" builtinId="4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147589</xdr:colOff>
      <xdr:row>145</xdr:row>
      <xdr:rowOff>179917</xdr:rowOff>
    </xdr:from>
    <xdr:to>
      <xdr:col>3</xdr:col>
      <xdr:colOff>5772</xdr:colOff>
      <xdr:row>145</xdr:row>
      <xdr:rowOff>184149</xdr:rowOff>
    </xdr:to>
    <xdr:cxnSp macro="">
      <xdr:nvCxnSpPr>
        <xdr:cNvPr id="2" name="1 Conector recto de flecha"/>
        <xdr:cNvCxnSpPr/>
      </xdr:nvCxnSpPr>
      <xdr:spPr>
        <a:xfrm rot="10800000" flipV="1">
          <a:off x="3119389" y="22792267"/>
          <a:ext cx="705908" cy="4232"/>
        </a:xfrm>
        <a:prstGeom prst="straightConnector1">
          <a:avLst/>
        </a:prstGeom>
        <a:ln w="2857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476250</xdr:colOff>
      <xdr:row>10</xdr:row>
      <xdr:rowOff>123825</xdr:rowOff>
    </xdr:from>
    <xdr:to>
      <xdr:col>5</xdr:col>
      <xdr:colOff>742950</xdr:colOff>
      <xdr:row>10</xdr:row>
      <xdr:rowOff>123825</xdr:rowOff>
    </xdr:to>
    <xdr:cxnSp macro="">
      <xdr:nvCxnSpPr>
        <xdr:cNvPr id="2" name="1 Conector recto de flecha"/>
        <xdr:cNvCxnSpPr/>
      </xdr:nvCxnSpPr>
      <xdr:spPr>
        <a:xfrm flipH="1">
          <a:off x="4286250" y="2152650"/>
          <a:ext cx="266700" cy="0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619125</xdr:colOff>
      <xdr:row>145</xdr:row>
      <xdr:rowOff>85725</xdr:rowOff>
    </xdr:from>
    <xdr:to>
      <xdr:col>3</xdr:col>
      <xdr:colOff>180975</xdr:colOff>
      <xdr:row>147</xdr:row>
      <xdr:rowOff>76200</xdr:rowOff>
    </xdr:to>
    <xdr:pic>
      <xdr:nvPicPr>
        <xdr:cNvPr id="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619125" y="27870150"/>
          <a:ext cx="1752600" cy="37147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201</xdr:row>
      <xdr:rowOff>171450</xdr:rowOff>
    </xdr:from>
    <xdr:to>
      <xdr:col>2</xdr:col>
      <xdr:colOff>371475</xdr:colOff>
      <xdr:row>204</xdr:row>
      <xdr:rowOff>104775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l="37890" t="32227" r="39219" b="62597"/>
        <a:stretch>
          <a:fillRect/>
        </a:stretch>
      </xdr:blipFill>
      <xdr:spPr bwMode="auto">
        <a:xfrm>
          <a:off x="0" y="37690425"/>
          <a:ext cx="2790825" cy="5048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114301</xdr:colOff>
      <xdr:row>216</xdr:row>
      <xdr:rowOff>57150</xdr:rowOff>
    </xdr:from>
    <xdr:to>
      <xdr:col>2</xdr:col>
      <xdr:colOff>229412</xdr:colOff>
      <xdr:row>218</xdr:row>
      <xdr:rowOff>171450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 l="29375" t="58203" r="33047" b="32617"/>
        <a:stretch>
          <a:fillRect/>
        </a:stretch>
      </xdr:blipFill>
      <xdr:spPr bwMode="auto">
        <a:xfrm>
          <a:off x="114301" y="40433625"/>
          <a:ext cx="2534461" cy="4953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nts%20and%20Settings\guillermo\Datos%20de%20programa\Microsoft\Excel\AN&#192;LISIS%20C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DE ENTRADA"/>
      <sheetName val="COSTOS DE OPERACIÓN"/>
      <sheetName val="N CARRILES"/>
      <sheetName val="Velocidad"/>
      <sheetName val="2CARRILES"/>
      <sheetName val="Calculos de C-B"/>
      <sheetName val="Factor de ajuste"/>
      <sheetName val="Valor del tiempo"/>
    </sheetNames>
    <sheetDataSet>
      <sheetData sheetId="0" refreshError="1">
        <row r="35">
          <cell r="D35">
            <v>3.64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2"/>
  <sheetViews>
    <sheetView tabSelected="1" workbookViewId="0">
      <selection activeCell="F22" sqref="F22"/>
    </sheetView>
  </sheetViews>
  <sheetFormatPr baseColWidth="10" defaultRowHeight="15" x14ac:dyDescent="0.25"/>
  <cols>
    <col min="1" max="1" width="36.85546875" customWidth="1"/>
    <col min="2" max="2" width="15.28515625" customWidth="1"/>
    <col min="3" max="3" width="21.28515625" customWidth="1"/>
    <col min="4" max="4" width="19" customWidth="1"/>
    <col min="5" max="5" width="18.7109375" customWidth="1"/>
    <col min="7" max="8" width="11.42578125" customWidth="1"/>
  </cols>
  <sheetData>
    <row r="1" spans="1:12" x14ac:dyDescent="0.25">
      <c r="A1" s="1" t="s">
        <v>0</v>
      </c>
    </row>
    <row r="2" spans="1:12" ht="15.75" thickBot="1" x14ac:dyDescent="0.3">
      <c r="A2" s="2" t="s">
        <v>543</v>
      </c>
      <c r="B2" s="2"/>
      <c r="C2" s="2"/>
      <c r="D2" s="2"/>
      <c r="E2" s="2"/>
    </row>
    <row r="3" spans="1:12" ht="15.75" thickBot="1" x14ac:dyDescent="0.3">
      <c r="A3" s="53" t="s">
        <v>1</v>
      </c>
      <c r="B3" s="54"/>
      <c r="C3" s="55"/>
    </row>
    <row r="4" spans="1:12" ht="15.75" thickBot="1" x14ac:dyDescent="0.3">
      <c r="A4" s="51" t="s">
        <v>2</v>
      </c>
      <c r="B4" s="19"/>
      <c r="C4" s="52" t="s">
        <v>541</v>
      </c>
    </row>
    <row r="5" spans="1:12" ht="15.75" thickBot="1" x14ac:dyDescent="0.3">
      <c r="A5" s="4" t="s">
        <v>3</v>
      </c>
      <c r="B5" s="19"/>
      <c r="C5" s="5">
        <v>0</v>
      </c>
    </row>
    <row r="6" spans="1:12" ht="60.75" customHeight="1" thickTop="1" thickBot="1" x14ac:dyDescent="0.3">
      <c r="A6" s="6" t="s">
        <v>544</v>
      </c>
      <c r="B6" s="19"/>
      <c r="C6" s="7">
        <v>0.5</v>
      </c>
    </row>
    <row r="7" spans="1:12" ht="15.75" thickBot="1" x14ac:dyDescent="0.3">
      <c r="A7" s="4" t="s">
        <v>545</v>
      </c>
      <c r="B7" s="19"/>
      <c r="C7" s="8">
        <v>70</v>
      </c>
      <c r="H7" s="40" t="s">
        <v>58</v>
      </c>
      <c r="I7" s="43"/>
      <c r="J7" s="43"/>
      <c r="K7" s="82"/>
    </row>
    <row r="8" spans="1:12" ht="15.75" thickBot="1" x14ac:dyDescent="0.3">
      <c r="A8" s="20" t="s">
        <v>15</v>
      </c>
      <c r="B8" s="20"/>
      <c r="C8" s="22" t="s">
        <v>16</v>
      </c>
      <c r="H8" s="40"/>
      <c r="I8" s="43"/>
      <c r="J8" s="43"/>
      <c r="K8" s="80"/>
    </row>
    <row r="9" spans="1:12" ht="15.75" thickBot="1" x14ac:dyDescent="0.3">
      <c r="A9" s="9" t="s">
        <v>4</v>
      </c>
      <c r="B9" s="19"/>
      <c r="C9" s="10">
        <v>9000</v>
      </c>
      <c r="H9" s="77" t="s">
        <v>14</v>
      </c>
      <c r="I9" s="8">
        <v>5424</v>
      </c>
      <c r="J9" s="11" t="s">
        <v>59</v>
      </c>
      <c r="K9" s="80"/>
      <c r="L9" s="80"/>
    </row>
    <row r="10" spans="1:12" ht="15.75" thickBot="1" x14ac:dyDescent="0.3">
      <c r="A10" s="11" t="s">
        <v>5</v>
      </c>
      <c r="B10" s="19"/>
      <c r="C10" s="12">
        <f>C9*C6</f>
        <v>4500</v>
      </c>
      <c r="D10" s="11" t="s">
        <v>60</v>
      </c>
      <c r="H10" s="11" t="s">
        <v>6</v>
      </c>
      <c r="I10" s="13">
        <v>0.74099999999999999</v>
      </c>
      <c r="J10" s="78">
        <f t="shared" ref="J10:J16" si="0">((K10/L10)^(1/11))-1</f>
        <v>5.4309959497730098E-2</v>
      </c>
      <c r="K10" s="81">
        <f t="shared" ref="K10:K16" si="1">$C$9*C11</f>
        <v>7191</v>
      </c>
      <c r="L10" s="81">
        <f t="shared" ref="L10:L16" si="2">$I$9*I10</f>
        <v>4019.1839999999997</v>
      </c>
    </row>
    <row r="11" spans="1:12" ht="15.75" thickBot="1" x14ac:dyDescent="0.3">
      <c r="A11" s="11" t="s">
        <v>6</v>
      </c>
      <c r="B11" s="19"/>
      <c r="C11" s="13">
        <v>0.79900000000000004</v>
      </c>
      <c r="D11" s="79">
        <v>0.03</v>
      </c>
      <c r="H11" s="11" t="s">
        <v>7</v>
      </c>
      <c r="I11" s="13">
        <v>0.109</v>
      </c>
      <c r="J11" s="78">
        <f t="shared" si="0"/>
        <v>-1.7657948413276281E-2</v>
      </c>
      <c r="K11" s="81">
        <f t="shared" si="1"/>
        <v>486</v>
      </c>
      <c r="L11" s="81">
        <f t="shared" si="2"/>
        <v>591.21600000000001</v>
      </c>
    </row>
    <row r="12" spans="1:12" ht="15.75" thickBot="1" x14ac:dyDescent="0.3">
      <c r="A12" s="11" t="s">
        <v>7</v>
      </c>
      <c r="B12" s="19"/>
      <c r="C12" s="13">
        <v>5.3999999999999999E-2</v>
      </c>
      <c r="D12" s="79">
        <v>0.03</v>
      </c>
      <c r="H12" s="11" t="s">
        <v>8</v>
      </c>
      <c r="I12" s="13">
        <v>7.1999999999999995E-2</v>
      </c>
      <c r="J12" s="78">
        <f t="shared" si="0"/>
        <v>4.1684722991281786E-2</v>
      </c>
      <c r="K12" s="81">
        <f t="shared" si="1"/>
        <v>612</v>
      </c>
      <c r="L12" s="81">
        <f t="shared" si="2"/>
        <v>390.52799999999996</v>
      </c>
    </row>
    <row r="13" spans="1:12" ht="15.75" thickBot="1" x14ac:dyDescent="0.3">
      <c r="A13" s="11" t="s">
        <v>8</v>
      </c>
      <c r="B13" s="19"/>
      <c r="C13" s="13">
        <v>6.8000000000000005E-2</v>
      </c>
      <c r="D13" s="79">
        <v>0.03</v>
      </c>
      <c r="H13" s="11" t="s">
        <v>9</v>
      </c>
      <c r="I13" s="13">
        <v>4.4999999999999998E-2</v>
      </c>
      <c r="J13" s="78">
        <f t="shared" si="0"/>
        <v>-2.7305653081113324E-2</v>
      </c>
      <c r="K13" s="81">
        <f t="shared" si="1"/>
        <v>180</v>
      </c>
      <c r="L13" s="81">
        <f t="shared" si="2"/>
        <v>244.07999999999998</v>
      </c>
    </row>
    <row r="14" spans="1:12" ht="15.75" thickBot="1" x14ac:dyDescent="0.3">
      <c r="A14" s="11" t="s">
        <v>9</v>
      </c>
      <c r="B14" s="19"/>
      <c r="C14" s="13">
        <v>0.02</v>
      </c>
      <c r="D14" s="79">
        <v>0.03</v>
      </c>
      <c r="H14" s="11" t="s">
        <v>10</v>
      </c>
      <c r="I14" s="13">
        <v>2E-3</v>
      </c>
      <c r="J14" s="78">
        <f t="shared" si="0"/>
        <v>0.29382927095383282</v>
      </c>
      <c r="K14" s="81">
        <f t="shared" si="1"/>
        <v>184.5</v>
      </c>
      <c r="L14" s="81">
        <f t="shared" si="2"/>
        <v>10.848000000000001</v>
      </c>
    </row>
    <row r="15" spans="1:12" ht="15.75" thickBot="1" x14ac:dyDescent="0.3">
      <c r="A15" s="11" t="s">
        <v>10</v>
      </c>
      <c r="B15" s="19"/>
      <c r="C15" s="13">
        <v>2.0500000000000001E-2</v>
      </c>
      <c r="D15" s="79">
        <v>0.03</v>
      </c>
      <c r="H15" s="11" t="s">
        <v>11</v>
      </c>
      <c r="I15" s="13">
        <v>8.0000000000000002E-3</v>
      </c>
      <c r="J15" s="78">
        <f t="shared" si="0"/>
        <v>6.8570020561494083E-2</v>
      </c>
      <c r="K15" s="81">
        <f t="shared" si="1"/>
        <v>90</v>
      </c>
      <c r="L15" s="81">
        <f t="shared" si="2"/>
        <v>43.392000000000003</v>
      </c>
    </row>
    <row r="16" spans="1:12" ht="15.75" thickBot="1" x14ac:dyDescent="0.3">
      <c r="A16" s="11" t="s">
        <v>11</v>
      </c>
      <c r="B16" s="19"/>
      <c r="C16" s="13">
        <v>0.01</v>
      </c>
      <c r="D16" s="79">
        <v>0.03</v>
      </c>
      <c r="H16" s="11" t="s">
        <v>12</v>
      </c>
      <c r="I16" s="13">
        <v>2.3E-2</v>
      </c>
      <c r="J16" s="78">
        <f t="shared" si="0"/>
        <v>6.7721943772576676E-2</v>
      </c>
      <c r="K16" s="81">
        <f t="shared" si="1"/>
        <v>256.5</v>
      </c>
      <c r="L16" s="81">
        <f t="shared" si="2"/>
        <v>124.752</v>
      </c>
    </row>
    <row r="17" spans="1:11" ht="15.75" thickBot="1" x14ac:dyDescent="0.3">
      <c r="A17" s="56" t="s">
        <v>12</v>
      </c>
      <c r="B17" s="19"/>
      <c r="C17" s="57">
        <v>2.8500000000000001E-2</v>
      </c>
      <c r="D17" s="79">
        <v>0.03</v>
      </c>
    </row>
    <row r="18" spans="1:11" ht="15.75" thickBot="1" x14ac:dyDescent="0.3">
      <c r="A18" s="53" t="s">
        <v>13</v>
      </c>
      <c r="B18" s="54"/>
      <c r="C18" s="55"/>
    </row>
    <row r="19" spans="1:11" ht="15.75" thickBot="1" x14ac:dyDescent="0.3">
      <c r="A19" s="51" t="s">
        <v>2</v>
      </c>
      <c r="B19" s="19"/>
      <c r="C19" s="58" t="str">
        <f>C4</f>
        <v>Origen-Destino</v>
      </c>
    </row>
    <row r="20" spans="1:11" ht="35.25" customHeight="1" thickBot="1" x14ac:dyDescent="0.3">
      <c r="A20" s="567" t="s">
        <v>546</v>
      </c>
      <c r="B20" s="568"/>
      <c r="C20" s="515">
        <f>1-C6</f>
        <v>0.5</v>
      </c>
      <c r="D20" s="483" t="str">
        <f>IF(C21&gt;=2,"% INVERSIÓN AÑO 1","")</f>
        <v>% INVERSIÓN AÑO 1</v>
      </c>
      <c r="E20" s="483" t="str">
        <f>IF(C21&gt;=2,"% INVERSIÓN AÑO 2","")</f>
        <v>% INVERSIÓN AÑO 2</v>
      </c>
      <c r="F20" s="483" t="str">
        <f>IF(C21&gt;=3,"% INVERSION AÑO 3","")</f>
        <v>% INVERSION AÑO 3</v>
      </c>
      <c r="G20" s="95"/>
    </row>
    <row r="21" spans="1:11" ht="21" customHeight="1" thickBot="1" x14ac:dyDescent="0.3">
      <c r="A21" s="567" t="s">
        <v>516</v>
      </c>
      <c r="B21" s="568"/>
      <c r="C21" s="516">
        <v>3</v>
      </c>
      <c r="D21" s="517">
        <v>0.5</v>
      </c>
      <c r="E21" s="517">
        <v>0.25</v>
      </c>
      <c r="F21" s="517">
        <v>0.25</v>
      </c>
    </row>
    <row r="22" spans="1:11" ht="15.75" thickBot="1" x14ac:dyDescent="0.3">
      <c r="A22" s="14" t="s">
        <v>3</v>
      </c>
      <c r="B22" s="19"/>
      <c r="C22" s="15">
        <v>850000000</v>
      </c>
      <c r="D22" t="str">
        <f>IF((D21+E21+F21)=1,"","ERROR EN LOS PORCENTAJES")</f>
        <v/>
      </c>
    </row>
    <row r="23" spans="1:11" ht="15.75" thickBot="1" x14ac:dyDescent="0.3">
      <c r="A23" s="14" t="s">
        <v>547</v>
      </c>
      <c r="B23" s="19"/>
      <c r="C23" s="8">
        <v>70</v>
      </c>
      <c r="E23" s="40" t="s">
        <v>552</v>
      </c>
      <c r="F23" s="40"/>
      <c r="G23" s="40"/>
      <c r="H23" s="40"/>
      <c r="I23" s="40"/>
      <c r="J23" s="40"/>
      <c r="K23" s="40"/>
    </row>
    <row r="24" spans="1:11" ht="15.75" thickBot="1" x14ac:dyDescent="0.3">
      <c r="A24" s="20" t="s">
        <v>15</v>
      </c>
      <c r="B24" s="20"/>
      <c r="C24" s="22" t="s">
        <v>16</v>
      </c>
    </row>
    <row r="25" spans="1:11" ht="15.75" thickBot="1" x14ac:dyDescent="0.3">
      <c r="A25" s="16" t="s">
        <v>14</v>
      </c>
      <c r="B25" s="19"/>
      <c r="C25" s="12">
        <f>C20*C9</f>
        <v>4500</v>
      </c>
    </row>
    <row r="26" spans="1:11" ht="15.75" thickBot="1" x14ac:dyDescent="0.3">
      <c r="A26" s="16" t="s">
        <v>6</v>
      </c>
      <c r="B26" s="19"/>
      <c r="C26" s="17">
        <v>0.79900000000000004</v>
      </c>
    </row>
    <row r="27" spans="1:11" ht="15.75" thickBot="1" x14ac:dyDescent="0.3">
      <c r="A27" s="16" t="s">
        <v>7</v>
      </c>
      <c r="B27" s="19"/>
      <c r="C27" s="17">
        <v>5.3999999999999999E-2</v>
      </c>
    </row>
    <row r="28" spans="1:11" ht="15.75" thickBot="1" x14ac:dyDescent="0.3">
      <c r="A28" s="16" t="s">
        <v>8</v>
      </c>
      <c r="B28" s="19"/>
      <c r="C28" s="17">
        <v>6.8000000000000005E-2</v>
      </c>
    </row>
    <row r="29" spans="1:11" ht="15.75" thickBot="1" x14ac:dyDescent="0.3">
      <c r="A29" s="16" t="s">
        <v>9</v>
      </c>
      <c r="B29" s="19"/>
      <c r="C29" s="17">
        <v>0.02</v>
      </c>
    </row>
    <row r="30" spans="1:11" ht="15.75" thickBot="1" x14ac:dyDescent="0.3">
      <c r="A30" s="16" t="s">
        <v>10</v>
      </c>
      <c r="B30" s="19"/>
      <c r="C30" s="17">
        <v>2.0500000000000001E-2</v>
      </c>
    </row>
    <row r="31" spans="1:11" ht="15.75" thickBot="1" x14ac:dyDescent="0.3">
      <c r="A31" s="16" t="s">
        <v>11</v>
      </c>
      <c r="B31" s="19"/>
      <c r="C31" s="17">
        <v>0.01</v>
      </c>
    </row>
    <row r="32" spans="1:11" ht="15.75" thickBot="1" x14ac:dyDescent="0.3">
      <c r="A32" s="16" t="s">
        <v>12</v>
      </c>
      <c r="B32" s="19"/>
      <c r="C32" s="17">
        <v>2.8500000000000001E-2</v>
      </c>
    </row>
    <row r="33" spans="1:11" ht="21.75" thickBot="1" x14ac:dyDescent="0.4">
      <c r="A33" s="491" t="s">
        <v>542</v>
      </c>
      <c r="B33" s="492"/>
      <c r="C33" s="493"/>
      <c r="D33" s="39"/>
    </row>
    <row r="34" spans="1:11" x14ac:dyDescent="0.25">
      <c r="A34" s="494" t="s">
        <v>496</v>
      </c>
      <c r="B34" s="488"/>
      <c r="C34" s="565" t="s">
        <v>522</v>
      </c>
    </row>
    <row r="35" spans="1:11" s="60" customFormat="1" ht="15.75" thickBot="1" x14ac:dyDescent="0.3">
      <c r="A35" s="489" t="s">
        <v>497</v>
      </c>
      <c r="B35" s="490"/>
      <c r="C35" s="566"/>
    </row>
    <row r="36" spans="1:11" x14ac:dyDescent="0.25">
      <c r="A36" s="3" t="s">
        <v>17</v>
      </c>
      <c r="B36" s="3"/>
      <c r="C36" s="3"/>
      <c r="D36" s="3"/>
      <c r="E36" s="3"/>
      <c r="F36" s="484" t="s">
        <v>478</v>
      </c>
      <c r="G36" s="485"/>
      <c r="H36" s="485"/>
      <c r="I36" s="486" t="s">
        <v>479</v>
      </c>
      <c r="J36" s="485"/>
      <c r="K36" s="485"/>
    </row>
    <row r="37" spans="1:11" ht="15.75" thickBot="1" x14ac:dyDescent="0.3">
      <c r="A37" s="23" t="s">
        <v>221</v>
      </c>
      <c r="B37" s="24"/>
      <c r="C37" s="24"/>
      <c r="D37" s="24"/>
      <c r="E37" s="25" t="s">
        <v>18</v>
      </c>
      <c r="F37" s="26" t="s">
        <v>14</v>
      </c>
      <c r="G37" s="27" t="s">
        <v>19</v>
      </c>
      <c r="H37" s="27" t="s">
        <v>20</v>
      </c>
      <c r="I37" s="27" t="s">
        <v>19</v>
      </c>
      <c r="J37" s="27" t="s">
        <v>20</v>
      </c>
    </row>
    <row r="38" spans="1:11" ht="15.75" thickBot="1" x14ac:dyDescent="0.3">
      <c r="A38" s="28" t="s">
        <v>21</v>
      </c>
      <c r="B38" s="19"/>
      <c r="C38" s="21">
        <v>1</v>
      </c>
      <c r="E38" s="31">
        <v>0</v>
      </c>
      <c r="F38" s="32">
        <f>IF($C$38=1,'2 CARRILES HCM'!J3,'N CARRILES HCM'!J3)</f>
        <v>4500</v>
      </c>
      <c r="G38" s="32" t="str">
        <f>IF($C$38=1,'2 CARRILES HCM'!K3,'N CARRILES HCM'!K3)</f>
        <v>C</v>
      </c>
      <c r="H38" s="32">
        <f>IF($C$38=1,'2 CARRILES HCM'!L3,'N CARRILES HCM'!L3)</f>
        <v>86.607781901041662</v>
      </c>
      <c r="I38" s="35" t="str">
        <f>IF($C$38=1,'2 CARR CAP VIAL'!I313,'AUTOPIS CAPACIDAD VIAL'!F326)</f>
        <v>C</v>
      </c>
      <c r="J38" s="69">
        <f>IF($C$38=1,'2 CARR CAP VIAL'!J313,'AUTOPIS CAPACIDAD VIAL'!L3)</f>
        <v>83</v>
      </c>
    </row>
    <row r="39" spans="1:11" ht="15.75" customHeight="1" x14ac:dyDescent="0.25">
      <c r="A39" s="28" t="s">
        <v>548</v>
      </c>
      <c r="B39" s="19"/>
      <c r="C39" s="59">
        <f>C10/12</f>
        <v>375</v>
      </c>
      <c r="E39" s="31">
        <v>1</v>
      </c>
      <c r="F39" s="32">
        <f>IF($C$38=1,'2 CARRILES HCM'!J4,'N CARRILES HCM'!J4)</f>
        <v>4635</v>
      </c>
      <c r="G39" s="32" t="str">
        <f>IF($C$38=1,'2 CARRILES HCM'!K4,'N CARRILES HCM'!K4)</f>
        <v>C</v>
      </c>
      <c r="H39" s="32">
        <f>IF($C$38=1,'2 CARRILES HCM'!L4,'N CARRILES HCM'!L4)</f>
        <v>86.459825358072919</v>
      </c>
      <c r="I39" s="35" t="str">
        <f>IF($C$38=1,'2 CARR CAP VIAL'!I314,'AUTOPIS CAPACIDAD VIAL'!F327)</f>
        <v>C</v>
      </c>
      <c r="J39" s="69">
        <f>IF($C$38=1,'2 CARR CAP VIAL'!J314,'AUTOPIS CAPACIDAD VIAL'!L4)</f>
        <v>83</v>
      </c>
    </row>
    <row r="40" spans="1:11" x14ac:dyDescent="0.25">
      <c r="A40" s="28" t="str">
        <f>IF(C38=1,"% DISTRIBUCIÓN DEL FLUJO","NO SE UTILIZA EN ESTE TIPO DE CARRETERA---------&gt;")</f>
        <v>% DISTRIBUCIÓN DEL FLUJO</v>
      </c>
      <c r="B40" s="19"/>
      <c r="C40" s="30">
        <v>50</v>
      </c>
      <c r="D40" s="29">
        <f>100-C40</f>
        <v>50</v>
      </c>
      <c r="E40" s="31">
        <v>2</v>
      </c>
      <c r="F40" s="32">
        <f>IF($C$38=1,'2 CARRILES HCM'!J5,'N CARRILES HCM'!J5)</f>
        <v>4774.0499999999984</v>
      </c>
      <c r="G40" s="32" t="str">
        <f>IF($C$38=1,'2 CARRILES HCM'!K5,'N CARRILES HCM'!K5)</f>
        <v>C</v>
      </c>
      <c r="H40" s="32">
        <f>IF($C$38=1,'2 CARRILES HCM'!L5,'N CARRILES HCM'!L5)</f>
        <v>86.307430118815105</v>
      </c>
      <c r="I40" s="35" t="str">
        <f>IF($C$38=1,'2 CARR CAP VIAL'!I315,'AUTOPIS CAPACIDAD VIAL'!F328)</f>
        <v>C</v>
      </c>
      <c r="J40" s="69">
        <f>IF($C$38=1,'2 CARR CAP VIAL'!J315,'AUTOPIS CAPACIDAD VIAL'!L5)</f>
        <v>83</v>
      </c>
    </row>
    <row r="41" spans="1:11" ht="15.75" thickBot="1" x14ac:dyDescent="0.3">
      <c r="A41" s="28" t="s">
        <v>22</v>
      </c>
      <c r="B41" s="19"/>
      <c r="C41" s="34">
        <f>SUM(C12:C17)/6</f>
        <v>3.3499999999999995E-2</v>
      </c>
      <c r="E41" s="31">
        <v>3</v>
      </c>
      <c r="F41" s="32">
        <f>IF($C$38=1,'2 CARRILES HCM'!J6,'N CARRILES HCM'!J6)</f>
        <v>4917.2714999999998</v>
      </c>
      <c r="G41" s="32" t="str">
        <f>IF($C$38=1,'2 CARRILES HCM'!K6,'N CARRILES HCM'!K6)</f>
        <v>C</v>
      </c>
      <c r="H41" s="32">
        <f>IF($C$38=1,'2 CARRILES HCM'!L6,'N CARRILES HCM'!L6)</f>
        <v>86.20833721891276</v>
      </c>
      <c r="I41" s="35" t="str">
        <f>IF($C$38=1,'2 CARR CAP VIAL'!I316,'AUTOPIS CAPACIDAD VIAL'!F329)</f>
        <v>C</v>
      </c>
      <c r="J41" s="69">
        <f>IF($C$38=1,'2 CARR CAP VIAL'!J316,'AUTOPIS CAPACIDAD VIAL'!L6)</f>
        <v>83</v>
      </c>
    </row>
    <row r="42" spans="1:11" ht="15.75" thickBot="1" x14ac:dyDescent="0.3">
      <c r="A42" s="28" t="s">
        <v>549</v>
      </c>
      <c r="B42" s="19"/>
      <c r="C42" s="65">
        <v>0.05</v>
      </c>
      <c r="E42" s="31">
        <v>4</v>
      </c>
      <c r="F42" s="32">
        <f>IF($C$38=1,'2 CARRILES HCM'!J7,'N CARRILES HCM'!J7)</f>
        <v>5064.7896450000007</v>
      </c>
      <c r="G42" s="32" t="str">
        <f>IF($C$38=1,'2 CARRILES HCM'!K7,'N CARRILES HCM'!K7)</f>
        <v>C</v>
      </c>
      <c r="H42" s="32">
        <f>IF($C$38=1,'2 CARRILES HCM'!L7,'N CARRILES HCM'!L7)</f>
        <v>86.047197335480149</v>
      </c>
      <c r="I42" s="35" t="str">
        <f>IF($C$38=1,'2 CARR CAP VIAL'!I317,'AUTOPIS CAPACIDAD VIAL'!F330)</f>
        <v>C</v>
      </c>
      <c r="J42" s="69">
        <f>IF($C$38=1,'2 CARR CAP VIAL'!J317,'AUTOPIS CAPACIDAD VIAL'!L7)</f>
        <v>83</v>
      </c>
    </row>
    <row r="43" spans="1:11" ht="15.75" thickBot="1" x14ac:dyDescent="0.3">
      <c r="A43" s="28" t="s">
        <v>23</v>
      </c>
      <c r="B43" s="19"/>
      <c r="C43" s="65">
        <v>100</v>
      </c>
      <c r="E43" s="31">
        <v>5</v>
      </c>
      <c r="F43" s="32">
        <f>IF($C$38=1,'2 CARRILES HCM'!J8,'N CARRILES HCM'!J8)</f>
        <v>5216.7333343499995</v>
      </c>
      <c r="G43" s="32" t="str">
        <f>IF($C$38=1,'2 CARRILES HCM'!K8,'N CARRILES HCM'!K8)</f>
        <v>C</v>
      </c>
      <c r="H43" s="32">
        <f>IF($C$38=1,'2 CARRILES HCM'!L8,'N CARRILES HCM'!L8)</f>
        <v>85.881223255544555</v>
      </c>
      <c r="I43" s="35" t="str">
        <f>IF($C$38=1,'2 CARR CAP VIAL'!I318,'AUTOPIS CAPACIDAD VIAL'!F331)</f>
        <v>C</v>
      </c>
      <c r="J43" s="69">
        <f>IF($C$38=1,'2 CARR CAP VIAL'!J318,'AUTOPIS CAPACIDAD VIAL'!L8)</f>
        <v>83</v>
      </c>
    </row>
    <row r="44" spans="1:11" ht="15.75" thickBot="1" x14ac:dyDescent="0.3">
      <c r="A44" s="28" t="s">
        <v>42</v>
      </c>
      <c r="B44" s="19"/>
      <c r="C44" s="265" t="str">
        <f>C8</f>
        <v>P</v>
      </c>
      <c r="E44" s="31">
        <v>6</v>
      </c>
      <c r="F44" s="32">
        <f>IF($C$38=1,'2 CARRILES HCM'!J9,'N CARRILES HCM'!J9)</f>
        <v>5373.2353343804989</v>
      </c>
      <c r="G44" s="32" t="str">
        <f>IF($C$38=1,'2 CARRILES HCM'!K9,'N CARRILES HCM'!K9)</f>
        <v>C</v>
      </c>
      <c r="H44" s="32">
        <f>IF($C$38=1,'2 CARRILES HCM'!L9,'N CARRILES HCM'!L9)</f>
        <v>85.710269953210883</v>
      </c>
      <c r="I44" s="35" t="str">
        <f>IF($C$38=1,'2 CARR CAP VIAL'!I319,'AUTOPIS CAPACIDAD VIAL'!F332)</f>
        <v>C</v>
      </c>
      <c r="J44" s="69">
        <f>IF($C$38=1,'2 CARR CAP VIAL'!J319,'AUTOPIS CAPACIDAD VIAL'!L9)</f>
        <v>83</v>
      </c>
    </row>
    <row r="45" spans="1:11" ht="15.75" thickBot="1" x14ac:dyDescent="0.3">
      <c r="A45" s="28" t="s">
        <v>24</v>
      </c>
      <c r="B45" s="19"/>
      <c r="C45" s="65">
        <v>3.3</v>
      </c>
      <c r="E45" s="31">
        <v>7</v>
      </c>
      <c r="F45" s="32">
        <f>IF($C$38=1,'2 CARRILES HCM'!J10,'N CARRILES HCM'!J10)</f>
        <v>5534.4323944119151</v>
      </c>
      <c r="G45" s="32" t="str">
        <f>IF($C$38=1,'2 CARRILES HCM'!K10,'N CARRILES HCM'!K10)</f>
        <v>C</v>
      </c>
      <c r="H45" s="32">
        <f>IF($C$38=1,'2 CARRILES HCM'!L10,'N CARRILES HCM'!L10)</f>
        <v>85.534188051807206</v>
      </c>
      <c r="I45" s="35" t="str">
        <f>IF($C$38=1,'2 CARR CAP VIAL'!I320,'AUTOPIS CAPACIDAD VIAL'!F333)</f>
        <v>C</v>
      </c>
      <c r="J45" s="69">
        <f>IF($C$38=1,'2 CARR CAP VIAL'!J320,'AUTOPIS CAPACIDAD VIAL'!L10)</f>
        <v>83</v>
      </c>
    </row>
    <row r="46" spans="1:11" ht="15.75" thickBot="1" x14ac:dyDescent="0.3">
      <c r="A46" s="28" t="s">
        <v>43</v>
      </c>
      <c r="B46" s="19"/>
      <c r="C46" s="65">
        <v>1</v>
      </c>
      <c r="E46" s="31">
        <v>8</v>
      </c>
      <c r="F46" s="32">
        <f>IF($C$38=1,'2 CARRILES HCM'!J11,'N CARRILES HCM'!J11)</f>
        <v>5700.4653662442724</v>
      </c>
      <c r="G46" s="32" t="str">
        <f>IF($C$38=1,'2 CARRILES HCM'!K11,'N CARRILES HCM'!K11)</f>
        <v>C</v>
      </c>
      <c r="H46" s="32">
        <f>IF($C$38=1,'2 CARRILES HCM'!L11,'N CARRILES HCM'!L11)</f>
        <v>85.352823693361429</v>
      </c>
      <c r="I46" s="35" t="str">
        <f>IF($C$38=1,'2 CARR CAP VIAL'!I321,'AUTOPIS CAPACIDAD VIAL'!F334)</f>
        <v>C</v>
      </c>
      <c r="J46" s="69">
        <f>IF($C$38=1,'2 CARR CAP VIAL'!J321,'AUTOPIS CAPACIDAD VIAL'!L11)</f>
        <v>83</v>
      </c>
    </row>
    <row r="47" spans="1:11" ht="15.75" thickBot="1" x14ac:dyDescent="0.3">
      <c r="A47" s="28" t="s">
        <v>25</v>
      </c>
      <c r="B47" s="19"/>
      <c r="C47" s="65">
        <v>50</v>
      </c>
      <c r="E47" s="31">
        <v>9</v>
      </c>
      <c r="F47" s="32">
        <f>IF($C$38=1,'2 CARRILES HCM'!J12,'N CARRILES HCM'!J12)</f>
        <v>5871.4793272316001</v>
      </c>
      <c r="G47" s="32" t="str">
        <f>IF($C$38=1,'2 CARRILES HCM'!K12,'N CARRILES HCM'!K12)</f>
        <v>C</v>
      </c>
      <c r="H47" s="32">
        <f>IF($C$38=1,'2 CARRILES HCM'!L12,'N CARRILES HCM'!L12)</f>
        <v>85.166018404162273</v>
      </c>
      <c r="I47" s="35" t="str">
        <f>IF($C$38=1,'2 CARR CAP VIAL'!I322,'AUTOPIS CAPACIDAD VIAL'!F335)</f>
        <v>C</v>
      </c>
      <c r="J47" s="69">
        <f>IF($C$38=1,'2 CARR CAP VIAL'!J322,'AUTOPIS CAPACIDAD VIAL'!L12)</f>
        <v>83</v>
      </c>
    </row>
    <row r="48" spans="1:11" ht="15.75" thickBot="1" x14ac:dyDescent="0.3">
      <c r="A48" s="28" t="s">
        <v>26</v>
      </c>
      <c r="B48" s="19"/>
      <c r="C48" s="65">
        <v>5</v>
      </c>
      <c r="E48" s="31">
        <v>10</v>
      </c>
      <c r="F48" s="32">
        <f>IF($C$38=1,'2 CARRILES HCM'!J13,'N CARRILES HCM'!J13)</f>
        <v>6047.6237070485486</v>
      </c>
      <c r="G48" s="32" t="str">
        <f>IF($C$38=1,'2 CARRILES HCM'!K13,'N CARRILES HCM'!K13)</f>
        <v>C</v>
      </c>
      <c r="H48" s="32">
        <f>IF($C$38=1,'2 CARRILES HCM'!L13,'N CARRILES HCM'!L13)</f>
        <v>84.995591963468797</v>
      </c>
      <c r="I48" s="35" t="str">
        <f>IF($C$38=1,'2 CARR CAP VIAL'!I323,'AUTOPIS CAPACIDAD VIAL'!F336)</f>
        <v>C</v>
      </c>
      <c r="J48" s="69">
        <f>IF($C$38=1,'2 CARR CAP VIAL'!J323,'AUTOPIS CAPACIDAD VIAL'!L13)</f>
        <v>83</v>
      </c>
    </row>
    <row r="49" spans="1:10" ht="15.75" thickBot="1" x14ac:dyDescent="0.3">
      <c r="A49" s="28" t="s">
        <v>27</v>
      </c>
      <c r="B49" s="19"/>
      <c r="C49" s="262" t="str">
        <f>D49</f>
        <v>I</v>
      </c>
      <c r="D49" t="s">
        <v>155</v>
      </c>
      <c r="E49" s="31">
        <v>11</v>
      </c>
      <c r="F49" s="32">
        <f>IF($C$38=1,'2 CARRILES HCM'!J14,'N CARRILES HCM'!J14)</f>
        <v>6229.0524182600047</v>
      </c>
      <c r="G49" s="32" t="str">
        <f>IF($C$38=1,'2 CARRILES HCM'!K14,'N CARRILES HCM'!K14)</f>
        <v>C</v>
      </c>
      <c r="H49" s="32">
        <f>IF($C$38=1,'2 CARRILES HCM'!L14,'N CARRILES HCM'!L14)</f>
        <v>84.798069722372858</v>
      </c>
      <c r="I49" s="35" t="str">
        <f>IF($C$38=1,'2 CARR CAP VIAL'!I324,'AUTOPIS CAPACIDAD VIAL'!F337)</f>
        <v>C</v>
      </c>
      <c r="J49" s="69">
        <f>IF($C$38=1,'2 CARR CAP VIAL'!J324,'AUTOPIS CAPACIDAD VIAL'!L14)</f>
        <v>83</v>
      </c>
    </row>
    <row r="50" spans="1:10" ht="15.75" thickBot="1" x14ac:dyDescent="0.3">
      <c r="A50" s="28" t="s">
        <v>28</v>
      </c>
      <c r="B50" s="19"/>
      <c r="C50" s="65" t="s">
        <v>29</v>
      </c>
      <c r="E50" s="31">
        <v>12</v>
      </c>
      <c r="F50" s="32">
        <f>IF($C$38=1,'2 CARRILES HCM'!J15,'N CARRILES HCM'!J15)</f>
        <v>6415.9239908078052</v>
      </c>
      <c r="G50" s="32" t="str">
        <f>IF($C$38=1,'2 CARRILES HCM'!K15,'N CARRILES HCM'!K15)</f>
        <v>C</v>
      </c>
      <c r="H50" s="32">
        <f>IF($C$38=1,'2 CARRILES HCM'!L15,'N CARRILES HCM'!L15)</f>
        <v>84.594621814044046</v>
      </c>
      <c r="I50" s="35" t="str">
        <f>IF($C$38=1,'2 CARR CAP VIAL'!I325,'AUTOPIS CAPACIDAD VIAL'!F338)</f>
        <v>C</v>
      </c>
      <c r="J50" s="69">
        <f>IF($C$38=1,'2 CARR CAP VIAL'!J325,'AUTOPIS CAPACIDAD VIAL'!L15)</f>
        <v>83</v>
      </c>
    </row>
    <row r="51" spans="1:10" ht="15.75" thickBot="1" x14ac:dyDescent="0.3">
      <c r="A51" s="42" t="s">
        <v>514</v>
      </c>
      <c r="B51" s="42"/>
      <c r="C51" s="8">
        <v>0.96</v>
      </c>
      <c r="E51" s="31">
        <v>13</v>
      </c>
      <c r="F51" s="32">
        <f>IF($C$38=1,'2 CARRILES HCM'!J16,'N CARRILES HCM'!J16)</f>
        <v>6608.4017105320372</v>
      </c>
      <c r="G51" s="32" t="str">
        <f>IF($C$38=1,'2 CARRILES HCM'!K16,'N CARRILES HCM'!K16)</f>
        <v>C</v>
      </c>
      <c r="H51" s="32">
        <f>IF($C$38=1,'2 CARRILES HCM'!L16,'N CARRILES HCM'!L16)</f>
        <v>84.385070468465372</v>
      </c>
      <c r="I51" s="35" t="str">
        <f>IF($C$38=1,'2 CARR CAP VIAL'!I326,'AUTOPIS CAPACIDAD VIAL'!F339)</f>
        <v>C</v>
      </c>
      <c r="J51" s="69">
        <f>IF($C$38=1,'2 CARR CAP VIAL'!J326,'AUTOPIS CAPACIDAD VIAL'!L16)</f>
        <v>83</v>
      </c>
    </row>
    <row r="52" spans="1:10" ht="15" customHeight="1" x14ac:dyDescent="0.25">
      <c r="E52" s="31">
        <v>14</v>
      </c>
      <c r="F52" s="32">
        <f>IF($C$38=1,'2 CARRILES HCM'!J17,'N CARRILES HCM'!J17)</f>
        <v>6806.6537618479997</v>
      </c>
      <c r="G52" s="32" t="str">
        <f>IF($C$38=1,'2 CARRILES HCM'!K17,'N CARRILES HCM'!K17)</f>
        <v>C</v>
      </c>
      <c r="H52" s="32">
        <f>IF($C$38=1,'2 CARRILES HCM'!L17,'N CARRILES HCM'!L17)</f>
        <v>84.169232582519328</v>
      </c>
      <c r="I52" s="35" t="str">
        <f>IF($C$38=1,'2 CARR CAP VIAL'!I327,'AUTOPIS CAPACIDAD VIAL'!F340)</f>
        <v>D</v>
      </c>
      <c r="J52" s="69">
        <f>IF($C$38=1,'2 CARR CAP VIAL'!J327,'AUTOPIS CAPACIDAD VIAL'!L17)</f>
        <v>80</v>
      </c>
    </row>
    <row r="53" spans="1:10" x14ac:dyDescent="0.25">
      <c r="E53" s="31">
        <v>15</v>
      </c>
      <c r="F53" s="32">
        <f>IF($C$38=1,'2 CARRILES HCM'!J18,'N CARRILES HCM'!J18)</f>
        <v>7010.8533747034398</v>
      </c>
      <c r="G53" s="32" t="str">
        <f>IF($C$38=1,'2 CARRILES HCM'!K18,'N CARRILES HCM'!K18)</f>
        <v>C</v>
      </c>
      <c r="H53" s="32">
        <f>IF($C$38=1,'2 CARRILES HCM'!L18,'N CARRILES HCM'!L18)</f>
        <v>83.94691955999491</v>
      </c>
      <c r="I53" s="35" t="str">
        <f>IF($C$38=1,'2 CARR CAP VIAL'!I328,'AUTOPIS CAPACIDAD VIAL'!F341)</f>
        <v>D</v>
      </c>
      <c r="J53" s="69">
        <f>IF($C$38=1,'2 CARR CAP VIAL'!J328,'AUTOPIS CAPACIDAD VIAL'!L18)</f>
        <v>80</v>
      </c>
    </row>
    <row r="54" spans="1:10" x14ac:dyDescent="0.25">
      <c r="A54" s="61"/>
      <c r="B54" s="47"/>
      <c r="C54" s="47"/>
      <c r="E54" s="31">
        <v>16</v>
      </c>
      <c r="F54" s="32">
        <f>IF($C$38=1,'2 CARRILES HCM'!J19,'N CARRILES HCM'!J19)</f>
        <v>7221.1789759445419</v>
      </c>
      <c r="G54" s="32" t="str">
        <f>IF($C$38=1,'2 CARRILES HCM'!K19,'N CARRILES HCM'!K19)</f>
        <v>C</v>
      </c>
      <c r="H54" s="32">
        <f>IF($C$38=1,'2 CARRILES HCM'!L19,'N CARRILES HCM'!L19)</f>
        <v>83.763937146794746</v>
      </c>
      <c r="I54" s="35" t="str">
        <f>IF($C$38=1,'2 CARR CAP VIAL'!I329,'AUTOPIS CAPACIDAD VIAL'!F342)</f>
        <v>D</v>
      </c>
      <c r="J54" s="69">
        <f>IF($C$38=1,'2 CARR CAP VIAL'!J329,'AUTOPIS CAPACIDAD VIAL'!L19)</f>
        <v>80</v>
      </c>
    </row>
    <row r="55" spans="1:10" x14ac:dyDescent="0.25">
      <c r="A55" s="46"/>
      <c r="B55" s="47"/>
      <c r="C55" s="48"/>
      <c r="E55" s="31">
        <v>17</v>
      </c>
      <c r="F55" s="32">
        <f>IF($C$38=1,'2 CARRILES HCM'!J20,'N CARRILES HCM'!J20)</f>
        <v>7437.8143452228787</v>
      </c>
      <c r="G55" s="32" t="str">
        <f>IF($C$38=1,'2 CARRILES HCM'!K20,'N CARRILES HCM'!K20)</f>
        <v>C</v>
      </c>
      <c r="H55" s="32">
        <f>IF($C$38=1,'2 CARRILES HCM'!L20,'N CARRILES HCM'!L20)</f>
        <v>83.528085261198584</v>
      </c>
      <c r="I55" s="35" t="str">
        <f>IF($C$38=1,'2 CARR CAP VIAL'!I330,'AUTOPIS CAPACIDAD VIAL'!F343)</f>
        <v>D</v>
      </c>
      <c r="J55" s="69">
        <f>IF($C$38=1,'2 CARR CAP VIAL'!J330,'AUTOPIS CAPACIDAD VIAL'!L20)</f>
        <v>80</v>
      </c>
    </row>
    <row r="56" spans="1:10" x14ac:dyDescent="0.25">
      <c r="A56" s="46"/>
      <c r="B56" s="47"/>
      <c r="C56" s="62"/>
      <c r="E56" s="31">
        <v>18</v>
      </c>
      <c r="F56" s="32">
        <f>IF($C$38=1,'2 CARRILES HCM'!J21,'N CARRILES HCM'!J21)</f>
        <v>7660.9487755795644</v>
      </c>
      <c r="G56" s="32" t="str">
        <f>IF($C$38=1,'2 CARRILES HCM'!K21,'N CARRILES HCM'!K21)</f>
        <v>C</v>
      </c>
      <c r="H56" s="32">
        <f>IF($C$38=1,'2 CARRILES HCM'!L21,'N CARRILES HCM'!L21)</f>
        <v>83.285157819034552</v>
      </c>
      <c r="I56" s="35" t="str">
        <f>IF($C$38=1,'2 CARR CAP VIAL'!I331,'AUTOPIS CAPACIDAD VIAL'!F344)</f>
        <v>D</v>
      </c>
      <c r="J56" s="69">
        <f>IF($C$38=1,'2 CARR CAP VIAL'!J331,'AUTOPIS CAPACIDAD VIAL'!L21)</f>
        <v>80</v>
      </c>
    </row>
    <row r="57" spans="1:10" x14ac:dyDescent="0.25">
      <c r="A57" s="46"/>
      <c r="B57" s="47"/>
      <c r="C57" s="63"/>
      <c r="E57" s="31">
        <v>19</v>
      </c>
      <c r="F57" s="32">
        <f>IF($C$38=1,'2 CARRILES HCM'!J22,'N CARRILES HCM'!J22)</f>
        <v>7890.7772388469511</v>
      </c>
      <c r="G57" s="32" t="str">
        <f>IF($C$38=1,'2 CARRILES HCM'!K22,'N CARRILES HCM'!K22)</f>
        <v>C</v>
      </c>
      <c r="H57" s="32">
        <f>IF($C$38=1,'2 CARRILES HCM'!L22,'N CARRILES HCM'!L22)</f>
        <v>83.034942553605575</v>
      </c>
      <c r="I57" s="35" t="str">
        <f>IF($C$38=1,'2 CARR CAP VIAL'!I332,'AUTOPIS CAPACIDAD VIAL'!F345)</f>
        <v>D</v>
      </c>
      <c r="J57" s="69">
        <f>IF($C$38=1,'2 CARR CAP VIAL'!J332,'AUTOPIS CAPACIDAD VIAL'!L22)</f>
        <v>80</v>
      </c>
    </row>
    <row r="58" spans="1:10" x14ac:dyDescent="0.25">
      <c r="A58" s="46"/>
      <c r="B58" s="47"/>
      <c r="C58" s="49"/>
      <c r="E58" s="31">
        <v>20</v>
      </c>
      <c r="F58" s="32">
        <f>IF($C$38=1,'2 CARRILES HCM'!J23,'N CARRILES HCM'!J23)</f>
        <v>8127.5005560123609</v>
      </c>
      <c r="G58" s="32" t="str">
        <f>IF($C$38=1,'2 CARRILES HCM'!K23,'N CARRILES HCM'!K23)</f>
        <v>C</v>
      </c>
      <c r="H58" s="32">
        <f>IF($C$38=1,'2 CARRILES HCM'!L23,'N CARRILES HCM'!L23)</f>
        <v>82.77722083021375</v>
      </c>
      <c r="I58" s="35" t="str">
        <f>IF($C$38=1,'2 CARR CAP VIAL'!I333,'AUTOPIS CAPACIDAD VIAL'!F346)</f>
        <v>D</v>
      </c>
      <c r="J58" s="69">
        <f>IF($C$38=1,'2 CARR CAP VIAL'!J333,'AUTOPIS CAPACIDAD VIAL'!L23)</f>
        <v>80</v>
      </c>
    </row>
    <row r="59" spans="1:10" x14ac:dyDescent="0.25">
      <c r="A59" s="46"/>
      <c r="B59" s="47"/>
      <c r="C59" s="64"/>
      <c r="E59" s="31">
        <v>21</v>
      </c>
      <c r="F59" s="32">
        <f>IF($C$38=1,'2 CARRILES HCM'!J24,'N CARRILES HCM'!J24)</f>
        <v>8371.3255726927291</v>
      </c>
      <c r="G59" s="32" t="str">
        <f>IF($C$38=1,'2 CARRILES HCM'!K24,'N CARRILES HCM'!K24)</f>
        <v>C</v>
      </c>
      <c r="H59" s="32">
        <f>IF($C$38=1,'2 CARRILES HCM'!L24,'N CARRILES HCM'!L24)</f>
        <v>82.511767455120165</v>
      </c>
      <c r="I59" s="35" t="str">
        <f>IF($C$38=1,'2 CARR CAP VIAL'!I334,'AUTOPIS CAPACIDAD VIAL'!F347)</f>
        <v>D</v>
      </c>
      <c r="J59" s="69">
        <f>IF($C$38=1,'2 CARR CAP VIAL'!J334,'AUTOPIS CAPACIDAD VIAL'!L24)</f>
        <v>80</v>
      </c>
    </row>
    <row r="60" spans="1:10" x14ac:dyDescent="0.25">
      <c r="A60" s="46"/>
      <c r="B60" s="47"/>
      <c r="C60" s="49"/>
      <c r="E60" s="31">
        <v>22</v>
      </c>
      <c r="F60" s="32">
        <f>IF($C$38=1,'2 CARRILES HCM'!J25,'N CARRILES HCM'!J25)</f>
        <v>8622.4653398735118</v>
      </c>
      <c r="G60" s="32" t="str">
        <f>IF($C$38=1,'2 CARRILES HCM'!K25,'N CARRILES HCM'!K25)</f>
        <v>C</v>
      </c>
      <c r="H60" s="32">
        <f>IF($C$38=1,'2 CARRILES HCM'!L25,'N CARRILES HCM'!L25)</f>
        <v>82.238350478773768</v>
      </c>
      <c r="I60" s="35" t="str">
        <f>IF($C$38=1,'2 CARR CAP VIAL'!I335,'AUTOPIS CAPACIDAD VIAL'!F348)</f>
        <v>D</v>
      </c>
      <c r="J60" s="69">
        <f>IF($C$38=1,'2 CARR CAP VIAL'!J335,'AUTOPIS CAPACIDAD VIAL'!L25)</f>
        <v>80</v>
      </c>
    </row>
    <row r="61" spans="1:10" x14ac:dyDescent="0.25">
      <c r="A61" s="46"/>
      <c r="B61" s="47"/>
      <c r="C61" s="49"/>
      <c r="E61" s="31">
        <v>23</v>
      </c>
      <c r="F61" s="32">
        <f>IF($C$38=1,'2 CARRILES HCM'!J26,'N CARRILES HCM'!J26)</f>
        <v>8881.1393000697171</v>
      </c>
      <c r="G61" s="32" t="str">
        <f>IF($C$38=1,'2 CARRILES HCM'!K26,'N CARRILES HCM'!K26)</f>
        <v>D</v>
      </c>
      <c r="H61" s="32">
        <f>IF($C$38=1,'2 CARRILES HCM'!L26,'N CARRILES HCM'!L26)</f>
        <v>81.956730993136986</v>
      </c>
      <c r="I61" s="35" t="str">
        <f>IF($C$38=1,'2 CARR CAP VIAL'!I336,'AUTOPIS CAPACIDAD VIAL'!F349)</f>
        <v>D</v>
      </c>
      <c r="J61" s="69">
        <f>IF($C$38=1,'2 CARR CAP VIAL'!J336,'AUTOPIS CAPACIDAD VIAL'!L26)</f>
        <v>80</v>
      </c>
    </row>
    <row r="62" spans="1:10" x14ac:dyDescent="0.25">
      <c r="A62" s="46"/>
      <c r="B62" s="47"/>
      <c r="C62" s="49"/>
      <c r="E62" s="31">
        <v>24</v>
      </c>
      <c r="F62" s="32">
        <f>IF($C$38=1,'2 CARRILES HCM'!J27,'N CARRILES HCM'!J27)</f>
        <v>9147.5734790718088</v>
      </c>
      <c r="G62" s="32" t="str">
        <f>IF($C$38=1,'2 CARRILES HCM'!K27,'N CARRILES HCM'!K27)</f>
        <v>D</v>
      </c>
      <c r="H62" s="32">
        <f>IF($C$38=1,'2 CARRILES HCM'!L27,'N CARRILES HCM'!L27)</f>
        <v>81.666662922931096</v>
      </c>
      <c r="I62" s="35" t="str">
        <f>IF($C$38=1,'2 CARR CAP VIAL'!I337,'AUTOPIS CAPACIDAD VIAL'!F350)</f>
        <v>D</v>
      </c>
      <c r="J62" s="69">
        <f>IF($C$38=1,'2 CARR CAP VIAL'!J337,'AUTOPIS CAPACIDAD VIAL'!L27)</f>
        <v>80</v>
      </c>
    </row>
    <row r="63" spans="1:10" x14ac:dyDescent="0.25">
      <c r="E63" s="31">
        <v>25</v>
      </c>
      <c r="F63" s="32">
        <f>IF($C$38=1,'2 CARRILES HCM'!J28,'N CARRILES HCM'!J28)</f>
        <v>9422.0006834439628</v>
      </c>
      <c r="G63" s="32" t="str">
        <f>IF($C$38=1,'2 CARRILES HCM'!K28,'N CARRILES HCM'!K28)</f>
        <v>D</v>
      </c>
      <c r="H63" s="32">
        <f>IF($C$38=1,'2 CARRILES HCM'!L28,'N CARRILES HCM'!L28)</f>
        <v>81.367892810619026</v>
      </c>
      <c r="I63" s="35" t="str">
        <f>IF($C$38=1,'2 CARR CAP VIAL'!I338,'AUTOPIS CAPACIDAD VIAL'!F351)</f>
        <v>D</v>
      </c>
      <c r="J63" s="69">
        <f>IF($C$38=1,'2 CARR CAP VIAL'!J338,'AUTOPIS CAPACIDAD VIAL'!L28)</f>
        <v>80</v>
      </c>
    </row>
    <row r="64" spans="1:10" x14ac:dyDescent="0.25">
      <c r="E64" s="31">
        <v>26</v>
      </c>
      <c r="F64" s="32">
        <f>IF($C$38=1,'2 CARRILES HCM'!J29,'N CARRILES HCM'!J29)</f>
        <v>9704.6607039472819</v>
      </c>
      <c r="G64" s="32" t="str">
        <f>IF($C$38=1,'2 CARRILES HCM'!K29,'N CARRILES HCM'!K29)</f>
        <v>D</v>
      </c>
      <c r="H64" s="32">
        <f>IF($C$38=1,'2 CARRILES HCM'!L29,'N CARRILES HCM'!L29)</f>
        <v>81.169435868112757</v>
      </c>
      <c r="I64" s="35" t="str">
        <f>IF($C$38=1,'2 CARR CAP VIAL'!I339,'AUTOPIS CAPACIDAD VIAL'!F352)</f>
        <v>D</v>
      </c>
      <c r="J64" s="69">
        <f>IF($C$38=1,'2 CARR CAP VIAL'!J339,'AUTOPIS CAPACIDAD VIAL'!L29)</f>
        <v>80</v>
      </c>
    </row>
    <row r="65" spans="1:11" x14ac:dyDescent="0.25">
      <c r="E65" s="31">
        <v>27</v>
      </c>
      <c r="F65" s="32">
        <f>IF($C$38=1,'2 CARRILES HCM'!J30,'N CARRILES HCM'!J30)</f>
        <v>9995.8005250656988</v>
      </c>
      <c r="G65" s="32" t="str">
        <f>IF($C$38=1,'2 CARRILES HCM'!K30,'N CARRILES HCM'!K30)</f>
        <v>D</v>
      </c>
      <c r="H65" s="32">
        <f>IF($C$38=1,'2 CARRILES HCM'!L30,'N CARRILES HCM'!L30)</f>
        <v>80.853528944156153</v>
      </c>
      <c r="I65" s="35" t="str">
        <f>IF($C$38=1,'2 CARR CAP VIAL'!I340,'AUTOPIS CAPACIDAD VIAL'!F353)</f>
        <v>D</v>
      </c>
      <c r="J65" s="69">
        <f>IF($C$38=1,'2 CARR CAP VIAL'!J340,'AUTOPIS CAPACIDAD VIAL'!L30)</f>
        <v>80</v>
      </c>
    </row>
    <row r="66" spans="1:11" x14ac:dyDescent="0.25">
      <c r="E66" s="31">
        <v>28</v>
      </c>
      <c r="F66" s="32">
        <f>IF($C$38=1,'2 CARRILES HCM'!J31,'N CARRILES HCM'!J31)</f>
        <v>10295.674540817672</v>
      </c>
      <c r="G66" s="32" t="str">
        <f>IF($C$38=1,'2 CARRILES HCM'!K31,'N CARRILES HCM'!K31)</f>
        <v>D</v>
      </c>
      <c r="H66" s="32">
        <f>IF($C$38=1,'2 CARRILES HCM'!L31,'N CARRILES HCM'!L31)</f>
        <v>80.528144812480832</v>
      </c>
      <c r="I66" s="35" t="str">
        <f>IF($C$38=1,'2 CARR CAP VIAL'!I341,'AUTOPIS CAPACIDAD VIAL'!F354)</f>
        <v>D</v>
      </c>
      <c r="J66" s="69">
        <f>IF($C$38=1,'2 CARR CAP VIAL'!J341,'AUTOPIS CAPACIDAD VIAL'!L31)</f>
        <v>80</v>
      </c>
    </row>
    <row r="67" spans="1:11" x14ac:dyDescent="0.25">
      <c r="E67" s="31">
        <v>29</v>
      </c>
      <c r="F67" s="32">
        <f>IF($C$38=1,'2 CARRILES HCM'!J32,'N CARRILES HCM'!J32)</f>
        <v>10604.5447770422</v>
      </c>
      <c r="G67" s="32" t="str">
        <f>IF($C$38=1,'2 CARRILES HCM'!K32,'N CARRILES HCM'!K32)</f>
        <v>D</v>
      </c>
      <c r="H67" s="32">
        <f>IF($C$38=1,'2 CARRILES HCM'!L32,'N CARRILES HCM'!L32)</f>
        <v>80.192999156855265</v>
      </c>
      <c r="I67" s="35" t="str">
        <f>IF($C$38=1,'2 CARR CAP VIAL'!I342,'AUTOPIS CAPACIDAD VIAL'!F355)</f>
        <v>D</v>
      </c>
      <c r="J67" s="69">
        <f>IF($C$38=1,'2 CARR CAP VIAL'!J342,'AUTOPIS CAPACIDAD VIAL'!L32)</f>
        <v>80</v>
      </c>
    </row>
    <row r="68" spans="1:11" x14ac:dyDescent="0.25">
      <c r="E68" s="31">
        <v>30</v>
      </c>
      <c r="F68" s="32">
        <f>IF($C$38=1,'2 CARRILES HCM'!J33,'N CARRILES HCM'!J33)</f>
        <v>10922.681120353467</v>
      </c>
      <c r="G68" s="32" t="str">
        <f>IF($C$38=1,'2 CARRILES HCM'!K33,'N CARRILES HCM'!K33)</f>
        <v>D</v>
      </c>
      <c r="H68" s="32">
        <f>IF($C$38=1,'2 CARRILES HCM'!L33,'N CARRILES HCM'!L33)</f>
        <v>79.847799131560905</v>
      </c>
      <c r="I68" s="35" t="str">
        <f>IF($C$38=1,'2 CARR CAP VIAL'!I343,'AUTOPIS CAPACIDAD VIAL'!F356)</f>
        <v>D</v>
      </c>
      <c r="J68" s="69">
        <f>IF($C$38=1,'2 CARR CAP VIAL'!J343,'AUTOPIS CAPACIDAD VIAL'!L33)</f>
        <v>80</v>
      </c>
    </row>
    <row r="69" spans="1:11" x14ac:dyDescent="0.25">
      <c r="E69" s="31">
        <v>31</v>
      </c>
      <c r="F69" s="32">
        <f>IF($C$38=1,'2 CARRILES HCM'!J34,'N CARRILES HCM'!J34)</f>
        <v>11250.361553964072</v>
      </c>
      <c r="G69" s="32" t="str">
        <f>IF($C$38=1,'2 CARRILES HCM'!K34,'N CARRILES HCM'!K34)</f>
        <v>D</v>
      </c>
      <c r="H69" s="32">
        <f>IF($C$38=1,'2 CARRILES HCM'!L34,'N CARRILES HCM'!L34)</f>
        <v>79.49224310550774</v>
      </c>
      <c r="I69" s="35" t="str">
        <f>IF($C$38=1,'2 CARR CAP VIAL'!I344,'AUTOPIS CAPACIDAD VIAL'!F357)</f>
        <v>D</v>
      </c>
      <c r="J69" s="69">
        <f>IF($C$38=1,'2 CARR CAP VIAL'!J344,'AUTOPIS CAPACIDAD VIAL'!L34)</f>
        <v>80</v>
      </c>
    </row>
    <row r="70" spans="1:11" x14ac:dyDescent="0.25">
      <c r="E70" s="31">
        <v>32</v>
      </c>
      <c r="F70" s="32">
        <f>IF($C$38=1,'2 CARRILES HCM'!J35,'N CARRILES HCM'!J35)</f>
        <v>11587.872400582992</v>
      </c>
      <c r="G70" s="32" t="str">
        <f>IF($C$38=1,'2 CARRILES HCM'!K35,'N CARRILES HCM'!K35)</f>
        <v>D</v>
      </c>
      <c r="H70" s="32">
        <f>IF($C$38=1,'2 CARRILES HCM'!L35,'N CARRILES HCM'!L35)</f>
        <v>79.126020398672978</v>
      </c>
      <c r="I70" s="35" t="str">
        <f>IF($C$38=1,'2 CARR CAP VIAL'!I345,'AUTOPIS CAPACIDAD VIAL'!F358)</f>
        <v>D</v>
      </c>
      <c r="J70" s="69">
        <f>IF($C$38=1,'2 CARR CAP VIAL'!J345,'AUTOPIS CAPACIDAD VIAL'!L35)</f>
        <v>80</v>
      </c>
    </row>
    <row r="71" spans="1:11" x14ac:dyDescent="0.25">
      <c r="E71" s="31"/>
      <c r="F71" s="484" t="s">
        <v>478</v>
      </c>
      <c r="G71" s="485"/>
      <c r="H71" s="485"/>
      <c r="I71" s="486" t="s">
        <v>479</v>
      </c>
      <c r="J71" s="485"/>
      <c r="K71" s="485"/>
    </row>
    <row r="72" spans="1:11" ht="15.75" thickBot="1" x14ac:dyDescent="0.3">
      <c r="A72" s="23" t="s">
        <v>222</v>
      </c>
      <c r="B72" s="24"/>
      <c r="C72" s="24"/>
      <c r="D72" s="24"/>
      <c r="E72" s="25" t="s">
        <v>18</v>
      </c>
      <c r="F72" s="26" t="s">
        <v>14</v>
      </c>
      <c r="G72" s="27" t="s">
        <v>19</v>
      </c>
      <c r="H72" s="37" t="s">
        <v>20</v>
      </c>
      <c r="I72" s="27" t="s">
        <v>19</v>
      </c>
      <c r="J72" s="27" t="s">
        <v>20</v>
      </c>
    </row>
    <row r="73" spans="1:11" ht="15.75" thickBot="1" x14ac:dyDescent="0.3">
      <c r="A73" s="28" t="s">
        <v>21</v>
      </c>
      <c r="B73" s="19"/>
      <c r="C73" s="21">
        <v>2</v>
      </c>
      <c r="E73" s="31">
        <v>0</v>
      </c>
      <c r="F73" s="32">
        <f>IF($C$73=1,'2 CARRILES HCM'!J40,'N CARRILES HCM'!J40)</f>
        <v>4500</v>
      </c>
      <c r="G73" s="32" t="str">
        <f>IF($C$73=1,'2 CARRILES HCM'!K40,'N CARRILES HCM'!K40)</f>
        <v>A</v>
      </c>
      <c r="H73" s="32">
        <f>IF($C$73=1,'2 CARRILES HCM'!L40,'N CARRILES HCM'!L40)</f>
        <v>100</v>
      </c>
      <c r="I73" s="35" t="str">
        <f>IF($C$73=1,'2 CARR CAP VIAL'!I348,'AUTOPIS CAPACIDAD VIAL'!F361)</f>
        <v>A</v>
      </c>
      <c r="J73" s="69">
        <f>IF($C$73=1,'2 CARR CAP VIAL'!J348,'AUTOPIS CAPACIDAD VIAL'!L40)</f>
        <v>104.32770689349636</v>
      </c>
    </row>
    <row r="74" spans="1:11" x14ac:dyDescent="0.25">
      <c r="A74" s="28" t="s">
        <v>548</v>
      </c>
      <c r="B74" s="19"/>
      <c r="C74" s="59">
        <f>C25/12</f>
        <v>375</v>
      </c>
      <c r="E74" s="31">
        <v>1</v>
      </c>
      <c r="F74" s="32">
        <f>IF($C$73=1,'2 CARRILES HCM'!J41,'N CARRILES HCM'!J41)</f>
        <v>4635</v>
      </c>
      <c r="G74" s="32" t="str">
        <f>IF($C$73=1,'2 CARRILES HCM'!K41,'N CARRILES HCM'!K41)</f>
        <v>A</v>
      </c>
      <c r="H74" s="32">
        <f>IF($C$73=1,'2 CARRILES HCM'!L41,'N CARRILES HCM'!L41)</f>
        <v>100</v>
      </c>
      <c r="I74" s="35" t="str">
        <f>IF($C$73=1,'2 CARR CAP VIAL'!I349,'AUTOPIS CAPACIDAD VIAL'!F362)</f>
        <v>A</v>
      </c>
      <c r="J74" s="69">
        <f>IF($C$73=1,'2 CARR CAP VIAL'!J349,'AUTOPIS CAPACIDAD VIAL'!L41)</f>
        <v>104.00753810030125</v>
      </c>
    </row>
    <row r="75" spans="1:11" x14ac:dyDescent="0.25">
      <c r="A75" s="28" t="str">
        <f>IF(C73=1,"% DISTRIBUCIÓN DEL FLUJO","NO SE UTILIZA EN ESTE TIPO DE CARRETERA---------&gt;")</f>
        <v>NO SE UTILIZA EN ESTE TIPO DE CARRETERA---------&gt;</v>
      </c>
      <c r="B75" s="19"/>
      <c r="C75" s="30">
        <v>50</v>
      </c>
      <c r="D75" s="29">
        <f>100-C75</f>
        <v>50</v>
      </c>
      <c r="E75" s="31">
        <v>2</v>
      </c>
      <c r="F75" s="32">
        <f>IF($C$73=1,'2 CARRILES HCM'!J42,'N CARRILES HCM'!J42)</f>
        <v>4774.0499999999984</v>
      </c>
      <c r="G75" s="32" t="str">
        <f>IF($C$73=1,'2 CARRILES HCM'!K42,'N CARRILES HCM'!K42)</f>
        <v>A</v>
      </c>
      <c r="H75" s="32">
        <f>IF($C$73=1,'2 CARRILES HCM'!L42,'N CARRILES HCM'!L42)</f>
        <v>100</v>
      </c>
      <c r="I75" s="35" t="str">
        <f>IF($C$73=1,'2 CARR CAP VIAL'!I350,'AUTOPIS CAPACIDAD VIAL'!F363)</f>
        <v>A</v>
      </c>
      <c r="J75" s="69">
        <f>IF($C$73=1,'2 CARR CAP VIAL'!J350,'AUTOPIS CAPACIDAD VIAL'!L42)</f>
        <v>103.67776424331029</v>
      </c>
    </row>
    <row r="76" spans="1:11" ht="15.75" thickBot="1" x14ac:dyDescent="0.3">
      <c r="A76" s="28" t="s">
        <v>22</v>
      </c>
      <c r="B76" s="19"/>
      <c r="C76" s="34">
        <f>SUM(C27:C32)/6</f>
        <v>3.3499999999999995E-2</v>
      </c>
      <c r="E76" s="31">
        <v>3</v>
      </c>
      <c r="F76" s="32">
        <f>IF($C$73=1,'2 CARRILES HCM'!J43,'N CARRILES HCM'!J43)</f>
        <v>4917.2714999999998</v>
      </c>
      <c r="G76" s="32" t="str">
        <f>IF($C$73=1,'2 CARRILES HCM'!K43,'N CARRILES HCM'!K43)</f>
        <v>A</v>
      </c>
      <c r="H76" s="32">
        <f>IF($C$73=1,'2 CARRILES HCM'!L43,'N CARRILES HCM'!L43)</f>
        <v>100</v>
      </c>
      <c r="I76" s="35" t="str">
        <f>IF($C$73=1,'2 CARR CAP VIAL'!I351,'AUTOPIS CAPACIDAD VIAL'!F364)</f>
        <v>A</v>
      </c>
      <c r="J76" s="69">
        <f>IF($C$73=1,'2 CARR CAP VIAL'!J351,'AUTOPIS CAPACIDAD VIAL'!L43)</f>
        <v>103.46624994895456</v>
      </c>
    </row>
    <row r="77" spans="1:11" ht="15.75" thickBot="1" x14ac:dyDescent="0.3">
      <c r="A77" s="28" t="s">
        <v>550</v>
      </c>
      <c r="B77" s="19"/>
      <c r="C77" s="65">
        <v>0.05</v>
      </c>
      <c r="E77" s="31">
        <v>4</v>
      </c>
      <c r="F77" s="32">
        <f>IF($C$73=1,'2 CARRILES HCM'!J44,'N CARRILES HCM'!J44)</f>
        <v>5064.7896450000007</v>
      </c>
      <c r="G77" s="32" t="str">
        <f>IF($C$73=1,'2 CARRILES HCM'!K44,'N CARRILES HCM'!K44)</f>
        <v>A</v>
      </c>
      <c r="H77" s="32">
        <f>IF($C$73=1,'2 CARRILES HCM'!L44,'N CARRILES HCM'!L44)</f>
        <v>100</v>
      </c>
      <c r="I77" s="35" t="str">
        <f>IF($C$73=1,'2 CARR CAP VIAL'!I352,'AUTOPIS CAPACIDAD VIAL'!F365)</f>
        <v>A</v>
      </c>
      <c r="J77" s="69">
        <f>IF($C$73=1,'2 CARR CAP VIAL'!J352,'AUTOPIS CAPACIDAD VIAL'!L44)</f>
        <v>103.12023744742318</v>
      </c>
    </row>
    <row r="78" spans="1:11" ht="15.75" thickBot="1" x14ac:dyDescent="0.3">
      <c r="A78" s="28" t="s">
        <v>23</v>
      </c>
      <c r="B78" s="19"/>
      <c r="C78" s="65">
        <v>100</v>
      </c>
      <c r="E78" s="31">
        <v>5</v>
      </c>
      <c r="F78" s="32">
        <f>IF($C$73=1,'2 CARRILES HCM'!J45,'N CARRILES HCM'!J45)</f>
        <v>5216.7333343499995</v>
      </c>
      <c r="G78" s="32" t="str">
        <f>IF($C$73=1,'2 CARRILES HCM'!K45,'N CARRILES HCM'!K45)</f>
        <v>A</v>
      </c>
      <c r="H78" s="32">
        <f>IF($C$73=1,'2 CARRILES HCM'!L45,'N CARRILES HCM'!L45)</f>
        <v>100</v>
      </c>
      <c r="I78" s="35" t="str">
        <f>IF($C$73=1,'2 CARR CAP VIAL'!I353,'AUTOPIS CAPACIDAD VIAL'!F366)</f>
        <v>A</v>
      </c>
      <c r="J78" s="69">
        <f>IF($C$73=1,'2 CARR CAP VIAL'!J353,'AUTOPIS CAPACIDAD VIAL'!L45)</f>
        <v>102.76384457084589</v>
      </c>
    </row>
    <row r="79" spans="1:11" ht="15.75" thickBot="1" x14ac:dyDescent="0.3">
      <c r="A79" s="28" t="s">
        <v>42</v>
      </c>
      <c r="B79" s="19"/>
      <c r="C79" s="265" t="str">
        <f>C24</f>
        <v>P</v>
      </c>
      <c r="E79" s="31">
        <v>6</v>
      </c>
      <c r="F79" s="32">
        <f>IF($C$73=1,'2 CARRILES HCM'!J46,'N CARRILES HCM'!J46)</f>
        <v>5373.2353343804989</v>
      </c>
      <c r="G79" s="32" t="str">
        <f>IF($C$73=1,'2 CARRILES HCM'!K46,'N CARRILES HCM'!K46)</f>
        <v>A</v>
      </c>
      <c r="H79" s="32">
        <f>IF($C$73=1,'2 CARRILES HCM'!L46,'N CARRILES HCM'!L46)</f>
        <v>100</v>
      </c>
      <c r="I79" s="35" t="str">
        <f>IF($C$73=1,'2 CARR CAP VIAL'!I354,'AUTOPIS CAPACIDAD VIAL'!F367)</f>
        <v>A</v>
      </c>
      <c r="J79" s="69">
        <f>IF($C$73=1,'2 CARR CAP VIAL'!J354,'AUTOPIS CAPACIDAD VIAL'!L46)</f>
        <v>102.39675990797126</v>
      </c>
    </row>
    <row r="80" spans="1:11" ht="15.75" thickBot="1" x14ac:dyDescent="0.3">
      <c r="A80" s="28" t="s">
        <v>24</v>
      </c>
      <c r="B80" s="19"/>
      <c r="C80" s="65">
        <v>3.6</v>
      </c>
      <c r="E80" s="31">
        <v>7</v>
      </c>
      <c r="F80" s="32">
        <f>IF($C$73=1,'2 CARRILES HCM'!J47,'N CARRILES HCM'!J47)</f>
        <v>5534.4323944119151</v>
      </c>
      <c r="G80" s="32" t="str">
        <f>IF($C$73=1,'2 CARRILES HCM'!K47,'N CARRILES HCM'!K47)</f>
        <v>A</v>
      </c>
      <c r="H80" s="32">
        <f>IF($C$73=1,'2 CARRILES HCM'!L47,'N CARRILES HCM'!L47)</f>
        <v>100</v>
      </c>
      <c r="I80" s="35" t="str">
        <f>IF($C$73=1,'2 CARR CAP VIAL'!I355,'AUTOPIS CAPACIDAD VIAL'!F368)</f>
        <v>A</v>
      </c>
      <c r="J80" s="69">
        <f>IF($C$73=1,'2 CARR CAP VIAL'!J355,'AUTOPIS CAPACIDAD VIAL'!L47)</f>
        <v>102.0186627052104</v>
      </c>
    </row>
    <row r="81" spans="1:10" ht="15.75" thickBot="1" x14ac:dyDescent="0.3">
      <c r="A81" s="28" t="s">
        <v>43</v>
      </c>
      <c r="B81" s="19"/>
      <c r="C81" s="65">
        <v>1.6</v>
      </c>
      <c r="E81" s="31">
        <v>8</v>
      </c>
      <c r="F81" s="32">
        <f>IF($C$73=1,'2 CARRILES HCM'!J48,'N CARRILES HCM'!J48)</f>
        <v>5700.4653662442724</v>
      </c>
      <c r="G81" s="32" t="str">
        <f>IF($C$73=1,'2 CARRILES HCM'!K48,'N CARRILES HCM'!K48)</f>
        <v>A</v>
      </c>
      <c r="H81" s="32">
        <f>IF($C$73=1,'2 CARRILES HCM'!L48,'N CARRILES HCM'!L48)</f>
        <v>100</v>
      </c>
      <c r="I81" s="35" t="str">
        <f>IF($C$73=1,'2 CARR CAP VIAL'!I356,'AUTOPIS CAPACIDAD VIAL'!F369)</f>
        <v>A</v>
      </c>
      <c r="J81" s="69">
        <f>IF($C$73=1,'2 CARR CAP VIAL'!J356,'AUTOPIS CAPACIDAD VIAL'!L48)</f>
        <v>101.62922258636671</v>
      </c>
    </row>
    <row r="82" spans="1:10" ht="15.75" thickBot="1" x14ac:dyDescent="0.3">
      <c r="A82" s="28" t="s">
        <v>25</v>
      </c>
      <c r="B82" s="19"/>
      <c r="C82" s="65">
        <v>50</v>
      </c>
      <c r="E82" s="31">
        <v>9</v>
      </c>
      <c r="F82" s="32">
        <f>IF($C$73=1,'2 CARRILES HCM'!J49,'N CARRILES HCM'!J49)</f>
        <v>5871.4793272316001</v>
      </c>
      <c r="G82" s="32" t="str">
        <f>IF($C$73=1,'2 CARRILES HCM'!K49,'N CARRILES HCM'!K49)</f>
        <v>A</v>
      </c>
      <c r="H82" s="32">
        <f>IF($C$73=1,'2 CARRILES HCM'!L49,'N CARRILES HCM'!L49)</f>
        <v>100</v>
      </c>
      <c r="I82" s="35" t="str">
        <f>IF($C$73=1,'2 CARR CAP VIAL'!I357,'AUTOPIS CAPACIDAD VIAL'!F370)</f>
        <v>A</v>
      </c>
      <c r="J82" s="69">
        <f>IF($C$73=1,'2 CARR CAP VIAL'!J357,'AUTOPIS CAPACIDAD VIAL'!L49)</f>
        <v>101.22809926395772</v>
      </c>
    </row>
    <row r="83" spans="1:10" ht="15.75" thickBot="1" x14ac:dyDescent="0.3">
      <c r="A83" s="28" t="s">
        <v>26</v>
      </c>
      <c r="B83" s="19"/>
      <c r="C83" s="65">
        <v>5</v>
      </c>
      <c r="E83" s="31">
        <v>10</v>
      </c>
      <c r="F83" s="32">
        <f>IF($C$73=1,'2 CARRILES HCM'!J50,'N CARRILES HCM'!J50)</f>
        <v>6047.6237070485486</v>
      </c>
      <c r="G83" s="32" t="str">
        <f>IF($C$73=1,'2 CARRILES HCM'!K50,'N CARRILES HCM'!K50)</f>
        <v>A</v>
      </c>
      <c r="H83" s="32">
        <f>IF($C$73=1,'2 CARRILES HCM'!L50,'N CARRILES HCM'!L50)</f>
        <v>100</v>
      </c>
      <c r="I83" s="35" t="str">
        <f>IF($C$73=1,'2 CARR CAP VIAL'!I358,'AUTOPIS CAPACIDAD VIAL'!F371)</f>
        <v>A</v>
      </c>
      <c r="J83" s="69">
        <f>IF($C$73=1,'2 CARR CAP VIAL'!J358,'AUTOPIS CAPACIDAD VIAL'!L50)</f>
        <v>100.81494224187644</v>
      </c>
    </row>
    <row r="84" spans="1:10" ht="15.75" thickBot="1" x14ac:dyDescent="0.3">
      <c r="A84" s="28" t="s">
        <v>27</v>
      </c>
      <c r="B84" s="19"/>
      <c r="C84" s="65" t="s">
        <v>155</v>
      </c>
      <c r="E84" s="31">
        <v>11</v>
      </c>
      <c r="F84" s="32">
        <f>IF($C$73=1,'2 CARRILES HCM'!J51,'N CARRILES HCM'!J51)</f>
        <v>6229.0524182600047</v>
      </c>
      <c r="G84" s="32" t="str">
        <f>IF($C$73=1,'2 CARRILES HCM'!K51,'N CARRILES HCM'!K51)</f>
        <v>A</v>
      </c>
      <c r="H84" s="32">
        <f>IF($C$73=1,'2 CARRILES HCM'!L51,'N CARRILES HCM'!L51)</f>
        <v>100</v>
      </c>
      <c r="I84" s="35" t="str">
        <f>IF($C$73=1,'2 CARR CAP VIAL'!I359,'AUTOPIS CAPACIDAD VIAL'!F372)</f>
        <v>A</v>
      </c>
      <c r="J84" s="69">
        <f>IF($C$73=1,'2 CARR CAP VIAL'!J359,'AUTOPIS CAPACIDAD VIAL'!L51)</f>
        <v>100.38939050913274</v>
      </c>
    </row>
    <row r="85" spans="1:10" ht="15.75" thickBot="1" x14ac:dyDescent="0.3">
      <c r="A85" s="28" t="s">
        <v>28</v>
      </c>
      <c r="B85" s="19"/>
      <c r="C85" s="65" t="s">
        <v>29</v>
      </c>
      <c r="E85" s="31">
        <v>12</v>
      </c>
      <c r="F85" s="32">
        <f>IF($C$73=1,'2 CARRILES HCM'!J52,'N CARRILES HCM'!J52)</f>
        <v>6415.9239908078052</v>
      </c>
      <c r="G85" s="32" t="str">
        <f>IF($C$73=1,'2 CARRILES HCM'!K52,'N CARRILES HCM'!K52)</f>
        <v>A</v>
      </c>
      <c r="H85" s="32">
        <f>IF($C$73=1,'2 CARRILES HCM'!L52,'N CARRILES HCM'!L52)</f>
        <v>100</v>
      </c>
      <c r="I85" s="35" t="str">
        <f>IF($C$73=1,'2 CARR CAP VIAL'!I360,'AUTOPIS CAPACIDAD VIAL'!F373)</f>
        <v>A</v>
      </c>
      <c r="J85" s="69">
        <f>IF($C$73=1,'2 CARR CAP VIAL'!J360,'AUTOPIS CAPACIDAD VIAL'!L52)</f>
        <v>99.951072224406715</v>
      </c>
    </row>
    <row r="86" spans="1:10" ht="15.75" thickBot="1" x14ac:dyDescent="0.3">
      <c r="A86" s="42" t="s">
        <v>514</v>
      </c>
      <c r="B86" s="42"/>
      <c r="C86" s="8">
        <v>0.96</v>
      </c>
      <c r="D86" s="47"/>
      <c r="E86" s="31">
        <v>13</v>
      </c>
      <c r="F86" s="32">
        <f>IF($C$73=1,'2 CARRILES HCM'!J53,'N CARRILES HCM'!J53)</f>
        <v>6608.4017105320372</v>
      </c>
      <c r="G86" s="32" t="str">
        <f>IF($C$73=1,'2 CARRILES HCM'!K53,'N CARRILES HCM'!K53)</f>
        <v>A</v>
      </c>
      <c r="H86" s="32">
        <f>IF($C$73=1,'2 CARRILES HCM'!L53,'N CARRILES HCM'!L53)</f>
        <v>100</v>
      </c>
      <c r="I86" s="35" t="str">
        <f>IF($C$73=1,'2 CARR CAP VIAL'!I361,'AUTOPIS CAPACIDAD VIAL'!F374)</f>
        <v>A</v>
      </c>
      <c r="J86" s="69">
        <f>IF($C$73=1,'2 CARR CAP VIAL'!J361,'AUTOPIS CAPACIDAD VIAL'!L53)</f>
        <v>99.499604391138917</v>
      </c>
    </row>
    <row r="87" spans="1:10" x14ac:dyDescent="0.25">
      <c r="A87" s="564"/>
      <c r="B87" s="564"/>
      <c r="C87" s="564"/>
      <c r="D87" s="47"/>
      <c r="E87" s="31">
        <v>14</v>
      </c>
      <c r="F87" s="32">
        <f>IF($C$73=1,'2 CARRILES HCM'!J54,'N CARRILES HCM'!J54)</f>
        <v>6806.6537618479997</v>
      </c>
      <c r="G87" s="32" t="str">
        <f>IF($C$73=1,'2 CARRILES HCM'!K54,'N CARRILES HCM'!K54)</f>
        <v>A</v>
      </c>
      <c r="H87" s="32">
        <f>IF($C$73=1,'2 CARRILES HCM'!L54,'N CARRILES HCM'!L54)</f>
        <v>100</v>
      </c>
      <c r="I87" s="35" t="str">
        <f>IF($C$73=1,'2 CARR CAP VIAL'!I362,'AUTOPIS CAPACIDAD VIAL'!F375)</f>
        <v>A</v>
      </c>
      <c r="J87" s="69">
        <f>IF($C$73=1,'2 CARR CAP VIAL'!J362,'AUTOPIS CAPACIDAD VIAL'!L54)</f>
        <v>99.034592522873083</v>
      </c>
    </row>
    <row r="88" spans="1:10" x14ac:dyDescent="0.25">
      <c r="A88" s="61"/>
      <c r="B88" s="47"/>
      <c r="C88" s="47"/>
      <c r="D88" s="47"/>
      <c r="E88" s="31">
        <v>15</v>
      </c>
      <c r="F88" s="32">
        <f>IF($C$73=1,'2 CARRILES HCM'!J55,'N CARRILES HCM'!J55)</f>
        <v>7010.8533747034398</v>
      </c>
      <c r="G88" s="32" t="str">
        <f>IF($C$73=1,'2 CARRILES HCM'!K55,'N CARRILES HCM'!K55)</f>
        <v>A</v>
      </c>
      <c r="H88" s="32">
        <f>IF($C$73=1,'2 CARRILES HCM'!L55,'N CARRILES HCM'!L55)</f>
        <v>100</v>
      </c>
      <c r="I88" s="35" t="str">
        <f>IF($C$73=1,'2 CARR CAP VIAL'!I363,'AUTOPIS CAPACIDAD VIAL'!F376)</f>
        <v>A</v>
      </c>
      <c r="J88" s="69">
        <f>IF($C$73=1,'2 CARR CAP VIAL'!J363,'AUTOPIS CAPACIDAD VIAL'!L55)</f>
        <v>98.555630298559279</v>
      </c>
    </row>
    <row r="89" spans="1:10" x14ac:dyDescent="0.25">
      <c r="A89" s="46"/>
      <c r="B89" s="47"/>
      <c r="C89" s="48"/>
      <c r="D89" s="47"/>
      <c r="E89" s="31">
        <v>16</v>
      </c>
      <c r="F89" s="32">
        <f>IF($C$73=1,'2 CARRILES HCM'!J56,'N CARRILES HCM'!J56)</f>
        <v>7221.1789759445419</v>
      </c>
      <c r="G89" s="32" t="str">
        <f>IF($C$73=1,'2 CARRILES HCM'!K56,'N CARRILES HCM'!K56)</f>
        <v>A</v>
      </c>
      <c r="H89" s="32">
        <f>IF($C$73=1,'2 CARRILES HCM'!L56,'N CARRILES HCM'!L56)</f>
        <v>100</v>
      </c>
      <c r="I89" s="35" t="str">
        <f>IF($C$73=1,'2 CARR CAP VIAL'!I364,'AUTOPIS CAPACIDAD VIAL'!F377)</f>
        <v>A</v>
      </c>
      <c r="J89" s="69">
        <f>IF($C$73=1,'2 CARR CAP VIAL'!J364,'AUTOPIS CAPACIDAD VIAL'!L56)</f>
        <v>98.246404650912623</v>
      </c>
    </row>
    <row r="90" spans="1:10" x14ac:dyDescent="0.25">
      <c r="A90" s="46"/>
      <c r="B90" s="47"/>
      <c r="C90" s="62"/>
      <c r="D90" s="47"/>
      <c r="E90" s="31">
        <v>17</v>
      </c>
      <c r="F90" s="32">
        <f>IF($C$73=1,'2 CARRILES HCM'!J57,'N CARRILES HCM'!J57)</f>
        <v>7437.8143452228787</v>
      </c>
      <c r="G90" s="32" t="str">
        <f>IF($C$73=1,'2 CARRILES HCM'!K57,'N CARRILES HCM'!K57)</f>
        <v>A</v>
      </c>
      <c r="H90" s="32">
        <f>IF($C$73=1,'2 CARRILES HCM'!L57,'N CARRILES HCM'!L57)</f>
        <v>100</v>
      </c>
      <c r="I90" s="35" t="str">
        <f>IF($C$73=1,'2 CARR CAP VIAL'!I365,'AUTOPIS CAPACIDAD VIAL'!F378)</f>
        <v>A</v>
      </c>
      <c r="J90" s="69">
        <f>IF($C$73=1,'2 CARR CAP VIAL'!J365,'AUTOPIS CAPACIDAD VIAL'!L57)</f>
        <v>97.743796790440001</v>
      </c>
    </row>
    <row r="91" spans="1:10" x14ac:dyDescent="0.25">
      <c r="A91" s="46"/>
      <c r="B91" s="47"/>
      <c r="C91" s="63"/>
      <c r="D91" s="47"/>
      <c r="E91" s="31">
        <v>18</v>
      </c>
      <c r="F91" s="32">
        <f>IF($C$73=1,'2 CARRILES HCM'!J58,'N CARRILES HCM'!J58)</f>
        <v>7660.9487755795644</v>
      </c>
      <c r="G91" s="32" t="str">
        <f>IF($C$73=1,'2 CARRILES HCM'!K58,'N CARRILES HCM'!K58)</f>
        <v>A</v>
      </c>
      <c r="H91" s="32">
        <f>IF($C$73=1,'2 CARRILES HCM'!L58,'N CARRILES HCM'!L58)</f>
        <v>100</v>
      </c>
      <c r="I91" s="35" t="str">
        <f>IF($C$73=1,'2 CARR CAP VIAL'!I366,'AUTOPIS CAPACIDAD VIAL'!F379)</f>
        <v>A</v>
      </c>
      <c r="J91" s="69">
        <f>IF($C$73=1,'2 CARR CAP VIAL'!J366,'AUTOPIS CAPACIDAD VIAL'!L58)</f>
        <v>97.226110694153206</v>
      </c>
    </row>
    <row r="92" spans="1:10" x14ac:dyDescent="0.25">
      <c r="A92" s="46"/>
      <c r="B92" s="47"/>
      <c r="C92" s="49"/>
      <c r="D92" s="47"/>
      <c r="E92" s="31">
        <v>19</v>
      </c>
      <c r="F92" s="32">
        <f>IF($C$73=1,'2 CARRILES HCM'!J59,'N CARRILES HCM'!J59)</f>
        <v>7890.7772388469511</v>
      </c>
      <c r="G92" s="32" t="str">
        <f>IF($C$73=1,'2 CARRILES HCM'!K59,'N CARRILES HCM'!K59)</f>
        <v>A</v>
      </c>
      <c r="H92" s="32">
        <f>IF($C$73=1,'2 CARRILES HCM'!L59,'N CARRILES HCM'!L59)</f>
        <v>100</v>
      </c>
      <c r="I92" s="35" t="str">
        <f>IF($C$73=1,'2 CARR CAP VIAL'!I367,'AUTOPIS CAPACIDAD VIAL'!F380)</f>
        <v>A</v>
      </c>
      <c r="J92" s="69">
        <f>IF($C$73=1,'2 CARR CAP VIAL'!J367,'AUTOPIS CAPACIDAD VIAL'!L59)</f>
        <v>96.69289401497781</v>
      </c>
    </row>
    <row r="93" spans="1:10" x14ac:dyDescent="0.25">
      <c r="A93" s="46"/>
      <c r="B93" s="47"/>
      <c r="C93" s="64"/>
      <c r="D93" s="47"/>
      <c r="E93" s="31">
        <v>20</v>
      </c>
      <c r="F93" s="32">
        <f>IF($C$73=1,'2 CARRILES HCM'!J60,'N CARRILES HCM'!J60)</f>
        <v>8127.5005560123609</v>
      </c>
      <c r="G93" s="32" t="str">
        <f>IF($C$73=1,'2 CARRILES HCM'!K60,'N CARRILES HCM'!K60)</f>
        <v>A</v>
      </c>
      <c r="H93" s="32">
        <f>IF($C$73=1,'2 CARRILES HCM'!L60,'N CARRILES HCM'!L60)</f>
        <v>100</v>
      </c>
      <c r="I93" s="35" t="str">
        <f>IF($C$73=1,'2 CARR CAP VIAL'!I368,'AUTOPIS CAPACIDAD VIAL'!F381)</f>
        <v>A</v>
      </c>
      <c r="J93" s="69">
        <f>IF($C$73=1,'2 CARR CAP VIAL'!J368,'AUTOPIS CAPACIDAD VIAL'!L60)</f>
        <v>96.143680835427134</v>
      </c>
    </row>
    <row r="94" spans="1:10" x14ac:dyDescent="0.25">
      <c r="A94" s="46"/>
      <c r="B94" s="47"/>
      <c r="C94" s="49"/>
      <c r="D94" s="47"/>
      <c r="E94" s="31">
        <v>21</v>
      </c>
      <c r="F94" s="32">
        <f>IF($C$73=1,'2 CARRILES HCM'!J61,'N CARRILES HCM'!J61)</f>
        <v>8371.3255726927291</v>
      </c>
      <c r="G94" s="32" t="str">
        <f>IF($C$73=1,'2 CARRILES HCM'!K61,'N CARRILES HCM'!K61)</f>
        <v>A</v>
      </c>
      <c r="H94" s="32">
        <f>IF($C$73=1,'2 CARRILES HCM'!L61,'N CARRILES HCM'!L61)</f>
        <v>100</v>
      </c>
      <c r="I94" s="35" t="str">
        <f>IF($C$73=1,'2 CARR CAP VIAL'!I369,'AUTOPIS CAPACIDAD VIAL'!F382)</f>
        <v>A</v>
      </c>
      <c r="J94" s="69">
        <f>IF($C$73=1,'2 CARR CAP VIAL'!J369,'AUTOPIS CAPACIDAD VIAL'!L61)</f>
        <v>95.577991260489952</v>
      </c>
    </row>
    <row r="95" spans="1:10" x14ac:dyDescent="0.25">
      <c r="A95" s="46"/>
      <c r="B95" s="47"/>
      <c r="C95" s="49"/>
      <c r="D95" s="47"/>
      <c r="E95" s="31">
        <v>22</v>
      </c>
      <c r="F95" s="32">
        <f>IF($C$73=1,'2 CARRILES HCM'!J62,'N CARRILES HCM'!J62)</f>
        <v>8622.4653398735118</v>
      </c>
      <c r="G95" s="32" t="str">
        <f>IF($C$73=1,'2 CARRILES HCM'!K62,'N CARRILES HCM'!K62)</f>
        <v>A</v>
      </c>
      <c r="H95" s="32">
        <f>IF($C$73=1,'2 CARRILES HCM'!L62,'N CARRILES HCM'!L62)</f>
        <v>100</v>
      </c>
      <c r="I95" s="35" t="str">
        <f>IF($C$73=1,'2 CARR CAP VIAL'!I370,'AUTOPIS CAPACIDAD VIAL'!F383)</f>
        <v>A</v>
      </c>
      <c r="J95" s="69">
        <f>IF($C$73=1,'2 CARR CAP VIAL'!J370,'AUTOPIS CAPACIDAD VIAL'!L62)</f>
        <v>94.995330998304652</v>
      </c>
    </row>
    <row r="96" spans="1:10" x14ac:dyDescent="0.25">
      <c r="A96" s="46"/>
      <c r="B96" s="47"/>
      <c r="C96" s="49"/>
      <c r="D96" s="47"/>
      <c r="E96" s="31">
        <v>23</v>
      </c>
      <c r="F96" s="32">
        <f>IF($C$73=1,'2 CARRILES HCM'!J63,'N CARRILES HCM'!J63)</f>
        <v>8881.1393000697171</v>
      </c>
      <c r="G96" s="32" t="str">
        <f>IF($C$73=1,'2 CARRILES HCM'!K63,'N CARRILES HCM'!K63)</f>
        <v>A</v>
      </c>
      <c r="H96" s="32">
        <f>IF($C$73=1,'2 CARRILES HCM'!L63,'N CARRILES HCM'!L63)</f>
        <v>100</v>
      </c>
      <c r="I96" s="35" t="str">
        <f>IF($C$73=1,'2 CARR CAP VIAL'!I371,'AUTOPIS CAPACIDAD VIAL'!F384)</f>
        <v>A</v>
      </c>
      <c r="J96" s="69">
        <f>IF($C$73=1,'2 CARR CAP VIAL'!J371,'AUTOPIS CAPACIDAD VIAL'!L63)</f>
        <v>94.395190928253797</v>
      </c>
    </row>
    <row r="97" spans="1:11" x14ac:dyDescent="0.25">
      <c r="A97" s="46"/>
      <c r="B97" s="47"/>
      <c r="C97" s="49"/>
      <c r="D97" s="47"/>
      <c r="E97" s="31">
        <v>24</v>
      </c>
      <c r="F97" s="32">
        <f>IF($C$73=1,'2 CARRILES HCM'!J64,'N CARRILES HCM'!J64)</f>
        <v>9147.5734790718088</v>
      </c>
      <c r="G97" s="32" t="str">
        <f>IF($C$73=1,'2 CARRILES HCM'!K64,'N CARRILES HCM'!K64)</f>
        <v>A</v>
      </c>
      <c r="H97" s="32">
        <f>IF($C$73=1,'2 CARRILES HCM'!L64,'N CARRILES HCM'!L64)</f>
        <v>100</v>
      </c>
      <c r="I97" s="35" t="str">
        <f>IF($C$73=1,'2 CARR CAP VIAL'!I372,'AUTOPIS CAPACIDAD VIAL'!F385)</f>
        <v>A</v>
      </c>
      <c r="J97" s="69">
        <f>IF($C$73=1,'2 CARR CAP VIAL'!J372,'AUTOPIS CAPACIDAD VIAL'!L64)</f>
        <v>93.777046656101405</v>
      </c>
    </row>
    <row r="98" spans="1:11" x14ac:dyDescent="0.25">
      <c r="E98" s="31">
        <v>25</v>
      </c>
      <c r="F98" s="32">
        <f>IF($C$73=1,'2 CARRILES HCM'!J65,'N CARRILES HCM'!J65)</f>
        <v>9422.0006834439628</v>
      </c>
      <c r="G98" s="32" t="str">
        <f>IF($C$73=1,'2 CARRILES HCM'!K65,'N CARRILES HCM'!K65)</f>
        <v>A</v>
      </c>
      <c r="H98" s="32">
        <f>IF($C$73=1,'2 CARRILES HCM'!L65,'N CARRILES HCM'!L65)</f>
        <v>100</v>
      </c>
      <c r="I98" s="35" t="str">
        <f>IF($C$73=1,'2 CARR CAP VIAL'!I373,'AUTOPIS CAPACIDAD VIAL'!F386)</f>
        <v>A</v>
      </c>
      <c r="J98" s="69">
        <f>IF($C$73=1,'2 CARR CAP VIAL'!J373,'AUTOPIS CAPACIDAD VIAL'!L65)</f>
        <v>93.140358055784446</v>
      </c>
    </row>
    <row r="99" spans="1:11" x14ac:dyDescent="0.25">
      <c r="E99" s="31">
        <v>26</v>
      </c>
      <c r="F99" s="32">
        <f>IF($C$73=1,'2 CARRILES HCM'!J66,'N CARRILES HCM'!J66)</f>
        <v>9704.6607039472819</v>
      </c>
      <c r="G99" s="32" t="str">
        <f>IF($C$73=1,'2 CARRILES HCM'!K66,'N CARRILES HCM'!K66)</f>
        <v>A</v>
      </c>
      <c r="H99" s="32">
        <f>IF($C$73=1,'2 CARRILES HCM'!L66,'N CARRILES HCM'!L66)</f>
        <v>100</v>
      </c>
      <c r="I99" s="35" t="str">
        <f>IF($C$73=1,'2 CARR CAP VIAL'!I374,'AUTOPIS CAPACIDAD VIAL'!F387)</f>
        <v>A</v>
      </c>
      <c r="J99" s="69">
        <f>IF($C$73=1,'2 CARR CAP VIAL'!J374,'AUTOPIS CAPACIDAD VIAL'!L66)</f>
        <v>92.726670208238005</v>
      </c>
    </row>
    <row r="100" spans="1:11" x14ac:dyDescent="0.25">
      <c r="E100" s="31">
        <v>27</v>
      </c>
      <c r="F100" s="32">
        <f>IF($C$73=1,'2 CARRILES HCM'!J67,'N CARRILES HCM'!J67)</f>
        <v>9995.8005250656988</v>
      </c>
      <c r="G100" s="32" t="str">
        <f>IF($C$73=1,'2 CARRILES HCM'!K67,'N CARRILES HCM'!K67)</f>
        <v>A</v>
      </c>
      <c r="H100" s="32">
        <f>IF($C$73=1,'2 CARRILES HCM'!L67,'N CARRILES HCM'!L67)</f>
        <v>100</v>
      </c>
      <c r="I100" s="35" t="str">
        <f>IF($C$73=1,'2 CARR CAP VIAL'!I375,'AUTOPIS CAPACIDAD VIAL'!F388)</f>
        <v>A</v>
      </c>
      <c r="J100" s="69">
        <f>IF($C$73=1,'2 CARR CAP VIAL'!J375,'AUTOPIS CAPACIDAD VIAL'!L67)</f>
        <v>92.058470314485149</v>
      </c>
    </row>
    <row r="101" spans="1:11" x14ac:dyDescent="0.25">
      <c r="E101" s="31">
        <v>28</v>
      </c>
      <c r="F101" s="32">
        <f>IF($C$73=1,'2 CARRILES HCM'!J68,'N CARRILES HCM'!J68)</f>
        <v>10295.674540817672</v>
      </c>
      <c r="G101" s="32" t="str">
        <f>IF($C$73=1,'2 CARRILES HCM'!K68,'N CARRILES HCM'!K68)</f>
        <v>A</v>
      </c>
      <c r="H101" s="32">
        <f>IF($C$73=1,'2 CARRILES HCM'!L68,'N CARRILES HCM'!L68)</f>
        <v>100</v>
      </c>
      <c r="I101" s="35" t="str">
        <f>IF($C$73=1,'2 CARR CAP VIAL'!I376,'AUTOPIS CAPACIDAD VIAL'!F389)</f>
        <v>A</v>
      </c>
      <c r="J101" s="69">
        <f>IF($C$73=1,'2 CARR CAP VIAL'!J376,'AUTOPIS CAPACIDAD VIAL'!L68)</f>
        <v>91.370224423919694</v>
      </c>
    </row>
    <row r="102" spans="1:11" x14ac:dyDescent="0.25">
      <c r="E102" s="31">
        <v>29</v>
      </c>
      <c r="F102" s="32">
        <f>IF($C$73=1,'2 CARRILES HCM'!J69,'N CARRILES HCM'!J69)</f>
        <v>10604.5447770422</v>
      </c>
      <c r="G102" s="32" t="str">
        <f>IF($C$73=1,'2 CARRILES HCM'!K69,'N CARRILES HCM'!K69)</f>
        <v>A</v>
      </c>
      <c r="H102" s="32">
        <f>IF($C$73=1,'2 CARRILES HCM'!L69,'N CARRILES HCM'!L69)</f>
        <v>100</v>
      </c>
      <c r="I102" s="35" t="str">
        <f>IF($C$73=1,'2 CARR CAP VIAL'!I377,'AUTOPIS CAPACIDAD VIAL'!F390)</f>
        <v>A</v>
      </c>
      <c r="J102" s="69">
        <f>IF($C$73=1,'2 CARR CAP VIAL'!J377,'AUTOPIS CAPACIDAD VIAL'!L69)</f>
        <v>90.661331156637289</v>
      </c>
    </row>
    <row r="103" spans="1:11" x14ac:dyDescent="0.25">
      <c r="E103" s="31">
        <v>30</v>
      </c>
      <c r="F103" s="32">
        <f>IF($C$73=1,'2 CARRILES HCM'!J70,'N CARRILES HCM'!J70)</f>
        <v>10922.681120353467</v>
      </c>
      <c r="G103" s="32" t="str">
        <f>IF($C$73=1,'2 CARRILES HCM'!K70,'N CARRILES HCM'!K70)</f>
        <v>A</v>
      </c>
      <c r="H103" s="32">
        <f>IF($C$73=1,'2 CARRILES HCM'!L70,'N CARRILES HCM'!L70)</f>
        <v>100</v>
      </c>
      <c r="I103" s="35" t="str">
        <f>IF($C$73=1,'2 CARR CAP VIAL'!I378,'AUTOPIS CAPACIDAD VIAL'!F391)</f>
        <v>A</v>
      </c>
      <c r="J103" s="69">
        <f>IF($C$73=1,'2 CARR CAP VIAL'!J378,'AUTOPIS CAPACIDAD VIAL'!L70)</f>
        <v>89.93117109133641</v>
      </c>
    </row>
    <row r="104" spans="1:11" x14ac:dyDescent="0.25">
      <c r="E104" s="31">
        <v>31</v>
      </c>
      <c r="F104" s="32">
        <f>IF($C$73=1,'2 CARRILES HCM'!J71,'N CARRILES HCM'!J71)</f>
        <v>11250.361553964072</v>
      </c>
      <c r="G104" s="32" t="str">
        <f>IF($C$73=1,'2 CARRILES HCM'!K71,'N CARRILES HCM'!K71)</f>
        <v>A</v>
      </c>
      <c r="H104" s="32">
        <f>IF($C$73=1,'2 CARRILES HCM'!L71,'N CARRILES HCM'!L71)</f>
        <v>100</v>
      </c>
      <c r="I104" s="35" t="str">
        <f>IF($C$73=1,'2 CARR CAP VIAL'!I379,'AUTOPIS CAPACIDAD VIAL'!F392)</f>
        <v>A</v>
      </c>
      <c r="J104" s="69">
        <f>IF($C$73=1,'2 CARR CAP VIAL'!J379,'AUTOPIS CAPACIDAD VIAL'!L71)</f>
        <v>89.179106224076492</v>
      </c>
    </row>
    <row r="105" spans="1:11" x14ac:dyDescent="0.25">
      <c r="E105" s="31">
        <v>32</v>
      </c>
      <c r="F105" s="32">
        <f>IF($C$73=1,'2 CARRILES HCM'!J72,'N CARRILES HCM'!J72)</f>
        <v>11587.872400582992</v>
      </c>
      <c r="G105" s="32" t="str">
        <f>IF($C$73=1,'2 CARRILES HCM'!K72,'N CARRILES HCM'!K72)</f>
        <v>A</v>
      </c>
      <c r="H105" s="32">
        <f>IF($C$73=1,'2 CARRILES HCM'!L72,'N CARRILES HCM'!L72)</f>
        <v>100</v>
      </c>
      <c r="I105" s="35" t="str">
        <f>IF($C$73=1,'2 CARR CAP VIAL'!I380,'AUTOPIS CAPACIDAD VIAL'!F393)</f>
        <v>A</v>
      </c>
      <c r="J105" s="69">
        <f>IF($C$73=1,'2 CARR CAP VIAL'!J380,'AUTOPIS CAPACIDAD VIAL'!L72)</f>
        <v>88.4044794107988</v>
      </c>
    </row>
    <row r="106" spans="1:11" x14ac:dyDescent="0.25">
      <c r="A106" s="50" t="s">
        <v>551</v>
      </c>
      <c r="B106" s="3"/>
      <c r="C106" s="3"/>
      <c r="D106" s="3"/>
      <c r="E106" s="3"/>
      <c r="F106" s="484" t="s">
        <v>478</v>
      </c>
      <c r="G106" s="485"/>
      <c r="H106" s="485"/>
      <c r="I106" s="486" t="s">
        <v>479</v>
      </c>
      <c r="J106" s="485"/>
      <c r="K106" s="485"/>
    </row>
    <row r="107" spans="1:11" ht="15.75" thickBot="1" x14ac:dyDescent="0.3">
      <c r="A107" s="23" t="s">
        <v>223</v>
      </c>
      <c r="B107" s="24"/>
      <c r="C107" s="24"/>
      <c r="D107" s="24"/>
      <c r="E107" s="25" t="s">
        <v>18</v>
      </c>
      <c r="F107" s="26" t="s">
        <v>14</v>
      </c>
      <c r="G107" s="27" t="s">
        <v>19</v>
      </c>
      <c r="H107" s="27" t="s">
        <v>20</v>
      </c>
      <c r="I107" s="27" t="s">
        <v>19</v>
      </c>
      <c r="J107" s="27" t="s">
        <v>20</v>
      </c>
    </row>
    <row r="108" spans="1:11" ht="15.75" thickBot="1" x14ac:dyDescent="0.3">
      <c r="A108" s="28" t="s">
        <v>21</v>
      </c>
      <c r="B108" s="19"/>
      <c r="C108" s="21">
        <v>1</v>
      </c>
      <c r="E108" s="31">
        <v>0</v>
      </c>
      <c r="F108" s="32">
        <f>IF($C$108=1,'2 CARRILES HCM'!J78,'N CARRILES HCM'!J77)</f>
        <v>9000</v>
      </c>
      <c r="G108" s="32" t="str">
        <f>IF($C$108=1,'2 CARRILES HCM'!K78,'N CARRILES HCM'!K77)</f>
        <v>D</v>
      </c>
      <c r="H108" s="32">
        <f>IF($C$108=1,'2 CARRILES HCM'!L78,'N CARRILES HCM'!L77)</f>
        <v>81.82732682291666</v>
      </c>
      <c r="I108" s="35" t="str">
        <f>IF($C$108=1,'2 CARR CAP VIAL'!I383,'AUTOPIS CAPACIDAD VIAL'!F396)</f>
        <v>D</v>
      </c>
      <c r="J108" s="69">
        <f>IF($C$108=1,'2 CARR CAP VIAL'!J383,'AUTOPIS CAPACIDAD VIAL'!L77)</f>
        <v>80</v>
      </c>
    </row>
    <row r="109" spans="1:11" x14ac:dyDescent="0.25">
      <c r="A109" s="28" t="s">
        <v>548</v>
      </c>
      <c r="B109" s="19"/>
      <c r="C109" s="59">
        <f>C9/12</f>
        <v>750</v>
      </c>
      <c r="E109" s="31">
        <v>1</v>
      </c>
      <c r="F109" s="32">
        <f>IF($C$108=1,'2 CARRILES HCM'!J79,'N CARRILES HCM'!J78)</f>
        <v>9270</v>
      </c>
      <c r="G109" s="32" t="str">
        <f>IF($C$108=1,'2 CARRILES HCM'!K79,'N CARRILES HCM'!K78)</f>
        <v>D</v>
      </c>
      <c r="H109" s="32">
        <f>IF($C$108=1,'2 CARRILES HCM'!L79,'N CARRILES HCM'!L78)</f>
        <v>81.533376627604156</v>
      </c>
      <c r="I109" s="35" t="str">
        <f>IF($C$108=1,'2 CARR CAP VIAL'!I384,'AUTOPIS CAPACIDAD VIAL'!F397)</f>
        <v>D</v>
      </c>
      <c r="J109" s="69">
        <f>IF($C$108=1,'2 CARR CAP VIAL'!J384,'AUTOPIS CAPACIDAD VIAL'!L78)</f>
        <v>80</v>
      </c>
    </row>
    <row r="110" spans="1:11" ht="15" customHeight="1" x14ac:dyDescent="0.25">
      <c r="A110" s="28" t="str">
        <f>IF(C108=1,"% DISTRIBUCIÓN DEL FLUJO","NO SE UTILIZA EN ESTE TIPO DE CARRETERA---------&gt;")</f>
        <v>% DISTRIBUCIÓN DEL FLUJO</v>
      </c>
      <c r="B110" s="19"/>
      <c r="C110" s="125">
        <f>C40</f>
        <v>50</v>
      </c>
      <c r="D110" s="29">
        <f>100-C110</f>
        <v>50</v>
      </c>
      <c r="E110" s="31">
        <v>2</v>
      </c>
      <c r="F110" s="32">
        <f>IF($C$108=1,'2 CARRILES HCM'!J80,'N CARRILES HCM'!J79)</f>
        <v>9548.0999999999967</v>
      </c>
      <c r="G110" s="32" t="str">
        <f>IF($C$108=1,'2 CARRILES HCM'!K80,'N CARRILES HCM'!K79)</f>
        <v>D</v>
      </c>
      <c r="H110" s="32">
        <f>IF($C$108=1,'2 CARRILES HCM'!L80,'N CARRILES HCM'!L79)</f>
        <v>81.230607926432285</v>
      </c>
      <c r="I110" s="35" t="str">
        <f>IF($C$108=1,'2 CARR CAP VIAL'!I385,'AUTOPIS CAPACIDAD VIAL'!F398)</f>
        <v>D</v>
      </c>
      <c r="J110" s="69">
        <f>IF($C$108=1,'2 CARR CAP VIAL'!J385,'AUTOPIS CAPACIDAD VIAL'!L79)</f>
        <v>80</v>
      </c>
    </row>
    <row r="111" spans="1:11" ht="15.75" thickBot="1" x14ac:dyDescent="0.3">
      <c r="A111" s="28" t="s">
        <v>22</v>
      </c>
      <c r="B111" s="19"/>
      <c r="C111" s="34">
        <f>SUM(C12:C17)/6</f>
        <v>3.3499999999999995E-2</v>
      </c>
      <c r="E111" s="31">
        <v>3</v>
      </c>
      <c r="F111" s="32">
        <f>IF($C$108=1,'2 CARRILES HCM'!J81,'N CARRILES HCM'!J80)</f>
        <v>9834.5429999999997</v>
      </c>
      <c r="G111" s="32" t="str">
        <f>IF($C$108=1,'2 CARRILES HCM'!K81,'N CARRILES HCM'!K80)</f>
        <v>D</v>
      </c>
      <c r="H111" s="32">
        <f>IF($C$108=1,'2 CARRILES HCM'!L81,'N CARRILES HCM'!L80)</f>
        <v>81.028504557291669</v>
      </c>
      <c r="I111" s="35" t="str">
        <f>IF($C$108=1,'2 CARR CAP VIAL'!I386,'AUTOPIS CAPACIDAD VIAL'!F399)</f>
        <v>D</v>
      </c>
      <c r="J111" s="69">
        <f>IF($C$108=1,'2 CARR CAP VIAL'!J386,'AUTOPIS CAPACIDAD VIAL'!L80)</f>
        <v>80</v>
      </c>
    </row>
    <row r="112" spans="1:11" ht="15.75" thickBot="1" x14ac:dyDescent="0.3">
      <c r="A112" s="28" t="s">
        <v>549</v>
      </c>
      <c r="B112" s="19"/>
      <c r="C112" s="65">
        <v>0.05</v>
      </c>
      <c r="E112" s="31">
        <v>4</v>
      </c>
      <c r="F112" s="32">
        <f>IF($C$108=1,'2 CARRILES HCM'!J82,'N CARRILES HCM'!J81)</f>
        <v>10129.579290000001</v>
      </c>
      <c r="G112" s="32" t="str">
        <f>IF($C$108=1,'2 CARRILES HCM'!K82,'N CARRILES HCM'!K81)</f>
        <v>D</v>
      </c>
      <c r="H112" s="32">
        <f>IF($C$108=1,'2 CARRILES HCM'!L82,'N CARRILES HCM'!L81)</f>
        <v>80.708369694010415</v>
      </c>
      <c r="I112" s="35" t="str">
        <f>IF($C$108=1,'2 CARR CAP VIAL'!I387,'AUTOPIS CAPACIDAD VIAL'!F400)</f>
        <v>D</v>
      </c>
      <c r="J112" s="69">
        <f>IF($C$108=1,'2 CARR CAP VIAL'!J387,'AUTOPIS CAPACIDAD VIAL'!L81)</f>
        <v>80</v>
      </c>
    </row>
    <row r="113" spans="1:10" ht="15.75" thickBot="1" x14ac:dyDescent="0.3">
      <c r="A113" s="28" t="s">
        <v>23</v>
      </c>
      <c r="B113" s="19"/>
      <c r="C113" s="65">
        <v>100</v>
      </c>
      <c r="E113" s="31">
        <v>5</v>
      </c>
      <c r="F113" s="32">
        <f>IF($C$108=1,'2 CARRILES HCM'!J83,'N CARRILES HCM'!J82)</f>
        <v>10433.466668699999</v>
      </c>
      <c r="G113" s="32" t="str">
        <f>IF($C$108=1,'2 CARRILES HCM'!K83,'N CARRILES HCM'!K82)</f>
        <v>D</v>
      </c>
      <c r="H113" s="32">
        <f>IF($C$108=1,'2 CARRILES HCM'!L83,'N CARRILES HCM'!L82)</f>
        <v>80.378630784830733</v>
      </c>
      <c r="I113" s="35" t="str">
        <f>IF($C$108=1,'2 CARR CAP VIAL'!I388,'AUTOPIS CAPACIDAD VIAL'!F401)</f>
        <v>D</v>
      </c>
      <c r="J113" s="69">
        <f>IF($C$108=1,'2 CARR CAP VIAL'!J388,'AUTOPIS CAPACIDAD VIAL'!L82)</f>
        <v>80</v>
      </c>
    </row>
    <row r="114" spans="1:10" ht="15.75" thickBot="1" x14ac:dyDescent="0.3">
      <c r="A114" s="28" t="s">
        <v>42</v>
      </c>
      <c r="B114" s="19"/>
      <c r="C114" s="265" t="str">
        <f>C8</f>
        <v>P</v>
      </c>
      <c r="E114" s="31">
        <v>6</v>
      </c>
      <c r="F114" s="32">
        <f>IF($C$108=1,'2 CARRILES HCM'!J84,'N CARRILES HCM'!J83)</f>
        <v>10746.470668760998</v>
      </c>
      <c r="G114" s="32" t="str">
        <f>IF($C$108=1,'2 CARRILES HCM'!K84,'N CARRILES HCM'!K83)</f>
        <v>D</v>
      </c>
      <c r="H114" s="32">
        <f>IF($C$108=1,'2 CARRILES HCM'!L84,'N CARRILES HCM'!L83)</f>
        <v>80.038999708375655</v>
      </c>
      <c r="I114" s="35" t="str">
        <f>IF($C$108=1,'2 CARR CAP VIAL'!I389,'AUTOPIS CAPACIDAD VIAL'!F402)</f>
        <v>D</v>
      </c>
      <c r="J114" s="69">
        <f>IF($C$108=1,'2 CARR CAP VIAL'!J389,'AUTOPIS CAPACIDAD VIAL'!L83)</f>
        <v>80</v>
      </c>
    </row>
    <row r="115" spans="1:10" ht="15.75" thickBot="1" x14ac:dyDescent="0.3">
      <c r="A115" s="28" t="s">
        <v>24</v>
      </c>
      <c r="B115" s="19"/>
      <c r="C115" s="65">
        <v>3.3</v>
      </c>
      <c r="E115" s="31">
        <v>7</v>
      </c>
      <c r="F115" s="32">
        <f>IF($C$108=1,'2 CARRILES HCM'!J85,'N CARRILES HCM'!J84)</f>
        <v>11068.86478882383</v>
      </c>
      <c r="G115" s="32" t="str">
        <f>IF($C$108=1,'2 CARRILES HCM'!K85,'N CARRILES HCM'!K84)</f>
        <v>D</v>
      </c>
      <c r="H115" s="32">
        <f>IF($C$108=1,'2 CARRILES HCM'!L85,'N CARRILES HCM'!L84)</f>
        <v>79.689179699626933</v>
      </c>
      <c r="I115" s="35" t="str">
        <f>IF($C$108=1,'2 CARR CAP VIAL'!I390,'AUTOPIS CAPACIDAD VIAL'!F403)</f>
        <v>D</v>
      </c>
      <c r="J115" s="69">
        <f>IF($C$108=1,'2 CARR CAP VIAL'!J390,'AUTOPIS CAPACIDAD VIAL'!L84)</f>
        <v>80</v>
      </c>
    </row>
    <row r="116" spans="1:10" ht="15.75" thickBot="1" x14ac:dyDescent="0.3">
      <c r="A116" s="28" t="s">
        <v>43</v>
      </c>
      <c r="B116" s="19"/>
      <c r="C116" s="65">
        <v>1</v>
      </c>
      <c r="E116" s="31">
        <v>8</v>
      </c>
      <c r="F116" s="32">
        <f>IF($C$108=1,'2 CARRILES HCM'!J86,'N CARRILES HCM'!J85)</f>
        <v>11400.930732488545</v>
      </c>
      <c r="G116" s="32" t="str">
        <f>IF($C$108=1,'2 CARRILES HCM'!K86,'N CARRILES HCM'!K85)</f>
        <v>D</v>
      </c>
      <c r="H116" s="32">
        <f>IF($C$108=1,'2 CARRILES HCM'!L86,'N CARRILES HCM'!L85)</f>
        <v>79.328865090615736</v>
      </c>
      <c r="I116" s="35" t="str">
        <f>IF($C$108=1,'2 CARR CAP VIAL'!I391,'AUTOPIS CAPACIDAD VIAL'!F404)</f>
        <v>D</v>
      </c>
      <c r="J116" s="69">
        <f>IF($C$108=1,'2 CARR CAP VIAL'!J391,'AUTOPIS CAPACIDAD VIAL'!L85)</f>
        <v>80</v>
      </c>
    </row>
    <row r="117" spans="1:10" ht="15.75" thickBot="1" x14ac:dyDescent="0.3">
      <c r="A117" s="28" t="s">
        <v>25</v>
      </c>
      <c r="B117" s="19"/>
      <c r="C117" s="265">
        <f>C47</f>
        <v>50</v>
      </c>
      <c r="E117" s="31">
        <v>9</v>
      </c>
      <c r="F117" s="32">
        <f>IF($C$108=1,'2 CARRILES HCM'!J87,'N CARRILES HCM'!J86)</f>
        <v>11742.9586544632</v>
      </c>
      <c r="G117" s="32" t="str">
        <f>IF($C$108=1,'2 CARRILES HCM'!K87,'N CARRILES HCM'!K86)</f>
        <v>D</v>
      </c>
      <c r="H117" s="32">
        <f>IF($C$108=1,'2 CARRILES HCM'!L87,'N CARRILES HCM'!L86)</f>
        <v>78.95774104333421</v>
      </c>
      <c r="I117" s="35" t="str">
        <f>IF($C$108=1,'2 CARR CAP VIAL'!I392,'AUTOPIS CAPACIDAD VIAL'!F405)</f>
        <v>D</v>
      </c>
      <c r="J117" s="69">
        <f>IF($C$108=1,'2 CARR CAP VIAL'!J392,'AUTOPIS CAPACIDAD VIAL'!L86)</f>
        <v>80</v>
      </c>
    </row>
    <row r="118" spans="1:10" ht="15.75" thickBot="1" x14ac:dyDescent="0.3">
      <c r="A118" s="28" t="s">
        <v>26</v>
      </c>
      <c r="B118" s="19"/>
      <c r="C118" s="65">
        <v>5</v>
      </c>
      <c r="E118" s="31">
        <v>10</v>
      </c>
      <c r="F118" s="32">
        <f>IF($C$108=1,'2 CARRILES HCM'!J88,'N CARRILES HCM'!J87)</f>
        <v>12095.247414097097</v>
      </c>
      <c r="G118" s="32" t="str">
        <f>IF($C$108=1,'2 CARRILES HCM'!K88,'N CARRILES HCM'!K87)</f>
        <v>D</v>
      </c>
      <c r="H118" s="32">
        <f>IF($C$108=1,'2 CARRILES HCM'!L88,'N CARRILES HCM'!L87)</f>
        <v>78.575483274634237</v>
      </c>
      <c r="I118" s="35" t="str">
        <f>IF($C$108=1,'2 CARR CAP VIAL'!I393,'AUTOPIS CAPACIDAD VIAL'!F406)</f>
        <v>D</v>
      </c>
      <c r="J118" s="69">
        <f>IF($C$108=1,'2 CARR CAP VIAL'!J393,'AUTOPIS CAPACIDAD VIAL'!L87)</f>
        <v>80</v>
      </c>
    </row>
    <row r="119" spans="1:10" ht="15.75" thickBot="1" x14ac:dyDescent="0.3">
      <c r="A119" s="28" t="s">
        <v>27</v>
      </c>
      <c r="B119" s="19"/>
      <c r="C119" s="65" t="s">
        <v>155</v>
      </c>
      <c r="E119" s="31">
        <v>11</v>
      </c>
      <c r="F119" s="32">
        <f>IF($C$108=1,'2 CARRILES HCM'!J89,'N CARRILES HCM'!J88)</f>
        <v>12458.104836520009</v>
      </c>
      <c r="G119" s="32" t="str">
        <f>IF($C$108=1,'2 CARRILES HCM'!K89,'N CARRILES HCM'!K88)</f>
        <v>D</v>
      </c>
      <c r="H119" s="32">
        <f>IF($C$108=1,'2 CARRILES HCM'!L89,'N CARRILES HCM'!L88)</f>
        <v>78.181757772873254</v>
      </c>
      <c r="I119" s="35" t="str">
        <f>IF($C$108=1,'2 CARR CAP VIAL'!I394,'AUTOPIS CAPACIDAD VIAL'!F407)</f>
        <v>D</v>
      </c>
      <c r="J119" s="69">
        <f>IF($C$108=1,'2 CARR CAP VIAL'!J394,'AUTOPIS CAPACIDAD VIAL'!L88)</f>
        <v>80</v>
      </c>
    </row>
    <row r="120" spans="1:10" ht="15.75" thickBot="1" x14ac:dyDescent="0.3">
      <c r="A120" s="28" t="s">
        <v>28</v>
      </c>
      <c r="B120" s="19"/>
      <c r="C120" s="65" t="s">
        <v>29</v>
      </c>
      <c r="E120" s="31">
        <v>12</v>
      </c>
      <c r="F120" s="32">
        <f>IF($C$108=1,'2 CARRILES HCM'!J90,'N CARRILES HCM'!J89)</f>
        <v>12831.84798161561</v>
      </c>
      <c r="G120" s="32" t="str">
        <f>IF($C$108=1,'2 CARRILES HCM'!K90,'N CARRILES HCM'!K89)</f>
        <v>D</v>
      </c>
      <c r="H120" s="32">
        <f>IF($C$108=1,'2 CARRILES HCM'!L90,'N CARRILES HCM'!L89)</f>
        <v>77.77622050605946</v>
      </c>
      <c r="I120" s="35" t="str">
        <f>IF($C$108=1,'2 CARR CAP VIAL'!I395,'AUTOPIS CAPACIDAD VIAL'!F408)</f>
        <v>E</v>
      </c>
      <c r="J120" s="69">
        <f>IF($C$108=1,'2 CARR CAP VIAL'!J395,'AUTOPIS CAPACIDAD VIAL'!L89)</f>
        <v>72</v>
      </c>
    </row>
    <row r="121" spans="1:10" ht="15.75" thickBot="1" x14ac:dyDescent="0.3">
      <c r="A121" s="42" t="s">
        <v>514</v>
      </c>
      <c r="B121" s="42"/>
      <c r="C121" s="8">
        <v>0.96</v>
      </c>
      <c r="D121" s="47"/>
      <c r="E121" s="31">
        <v>13</v>
      </c>
      <c r="F121" s="32">
        <f>IF($C$108=1,'2 CARRILES HCM'!J91,'N CARRILES HCM'!J90)</f>
        <v>13216.803421064074</v>
      </c>
      <c r="G121" s="32" t="str">
        <f>IF($C$108=1,'2 CARRILES HCM'!K91,'N CARRILES HCM'!K90)</f>
        <v>D</v>
      </c>
      <c r="H121" s="32">
        <f>IF($C$108=1,'2 CARRILES HCM'!L91,'N CARRILES HCM'!L90)</f>
        <v>77.358517121241235</v>
      </c>
      <c r="I121" s="35" t="str">
        <f>IF($C$108=1,'2 CARR CAP VIAL'!I396,'AUTOPIS CAPACIDAD VIAL'!F409)</f>
        <v>E</v>
      </c>
      <c r="J121" s="69">
        <f>IF($C$108=1,'2 CARR CAP VIAL'!J396,'AUTOPIS CAPACIDAD VIAL'!L90)</f>
        <v>72</v>
      </c>
    </row>
    <row r="122" spans="1:10" x14ac:dyDescent="0.25">
      <c r="A122" s="47"/>
      <c r="B122" s="47"/>
      <c r="C122" s="47"/>
      <c r="D122" s="47"/>
      <c r="E122" s="31">
        <v>14</v>
      </c>
      <c r="F122" s="32">
        <f>IF($C$108=1,'2 CARRILES HCM'!J92,'N CARRILES HCM'!J91)</f>
        <v>13613.307523695999</v>
      </c>
      <c r="G122" s="32" t="str">
        <f>IF($C$108=1,'2 CARRILES HCM'!K92,'N CARRILES HCM'!K91)</f>
        <v>D</v>
      </c>
      <c r="H122" s="32">
        <f>IF($C$108=1,'2 CARRILES HCM'!L92,'N CARRILES HCM'!L91)</f>
        <v>76.928282634878471</v>
      </c>
      <c r="I122" s="35" t="str">
        <f>IF($C$108=1,'2 CARR CAP VIAL'!I397,'AUTOPIS CAPACIDAD VIAL'!F410)</f>
        <v>E</v>
      </c>
      <c r="J122" s="69">
        <f>IF($C$108=1,'2 CARR CAP VIAL'!J397,'AUTOPIS CAPACIDAD VIAL'!L91)</f>
        <v>72</v>
      </c>
    </row>
    <row r="123" spans="1:10" ht="15" customHeight="1" x14ac:dyDescent="0.25">
      <c r="A123" s="47"/>
      <c r="B123" s="47"/>
      <c r="C123" s="47"/>
      <c r="D123" s="47"/>
      <c r="E123" s="31">
        <v>15</v>
      </c>
      <c r="F123" s="32">
        <f>IF($C$108=1,'2 CARRILES HCM'!J93,'N CARRILES HCM'!J92)</f>
        <v>14021.70674940688</v>
      </c>
      <c r="G123" s="32" t="str">
        <f>IF($C$108=1,'2 CARRILES HCM'!K93,'N CARRILES HCM'!K92)</f>
        <v>D</v>
      </c>
      <c r="H123" s="32">
        <f>IF($C$108=1,'2 CARRILES HCM'!L93,'N CARRILES HCM'!L92)</f>
        <v>76.485141113924826</v>
      </c>
      <c r="I123" s="35" t="str">
        <f>IF($C$108=1,'2 CARR CAP VIAL'!I398,'AUTOPIS CAPACIDAD VIAL'!F411)</f>
        <v>E</v>
      </c>
      <c r="J123" s="69">
        <f>IF($C$108=1,'2 CARR CAP VIAL'!J398,'AUTOPIS CAPACIDAD VIAL'!L92)</f>
        <v>72</v>
      </c>
    </row>
    <row r="124" spans="1:10" x14ac:dyDescent="0.25">
      <c r="A124" s="47"/>
      <c r="B124" s="47"/>
      <c r="C124" s="47"/>
      <c r="D124" s="47"/>
      <c r="E124" s="31">
        <v>16</v>
      </c>
      <c r="F124" s="32">
        <f>IF($C$108=1,'2 CARRILES HCM'!J94,'N CARRILES HCM'!J93)</f>
        <v>14442.357951889084</v>
      </c>
      <c r="G124" s="32" t="str">
        <f>IF($C$108=1,'2 CARRILES HCM'!K94,'N CARRILES HCM'!K93)</f>
        <v>D</v>
      </c>
      <c r="H124" s="32">
        <f>IF($C$108=1,'2 CARRILES HCM'!L94,'N CARRILES HCM'!L93)</f>
        <v>76.02870534734258</v>
      </c>
      <c r="I124" s="35" t="str">
        <f>IF($C$108=1,'2 CARR CAP VIAL'!I399,'AUTOPIS CAPACIDAD VIAL'!F412)</f>
        <v>E</v>
      </c>
      <c r="J124" s="69">
        <f>IF($C$108=1,'2 CARR CAP VIAL'!J399,'AUTOPIS CAPACIDAD VIAL'!L93)</f>
        <v>72</v>
      </c>
    </row>
    <row r="125" spans="1:10" x14ac:dyDescent="0.25">
      <c r="A125" s="47"/>
      <c r="B125" s="47"/>
      <c r="C125" s="47"/>
      <c r="D125" s="47"/>
      <c r="E125" s="31">
        <v>17</v>
      </c>
      <c r="F125" s="32">
        <f>IF($C$108=1,'2 CARRILES HCM'!J95,'N CARRILES HCM'!J94)</f>
        <v>14875.628690445757</v>
      </c>
      <c r="G125" s="32" t="str">
        <f>IF($C$108=1,'2 CARRILES HCM'!K95,'N CARRILES HCM'!K94)</f>
        <v>D</v>
      </c>
      <c r="H125" s="32">
        <f>IF($C$108=1,'2 CARRILES HCM'!L95,'N CARRILES HCM'!L94)</f>
        <v>75.558576507762851</v>
      </c>
      <c r="I125" s="35" t="str">
        <f>IF($C$108=1,'2 CARR CAP VIAL'!I400,'AUTOPIS CAPACIDAD VIAL'!F413)</f>
        <v>E</v>
      </c>
      <c r="J125" s="69">
        <f>IF($C$108=1,'2 CARR CAP VIAL'!J400,'AUTOPIS CAPACIDAD VIAL'!L94)</f>
        <v>72</v>
      </c>
    </row>
    <row r="126" spans="1:10" x14ac:dyDescent="0.25">
      <c r="A126" s="47"/>
      <c r="B126" s="47"/>
      <c r="C126" s="47"/>
      <c r="D126" s="47"/>
      <c r="E126" s="31">
        <v>18</v>
      </c>
      <c r="F126" s="32">
        <f>IF($C$108=1,'2 CARRILES HCM'!J96,'N CARRILES HCM'!J95)</f>
        <v>15321.897551159129</v>
      </c>
      <c r="G126" s="32" t="str">
        <f>IF($C$108=1,'2 CARRILES HCM'!K96,'N CARRILES HCM'!K95)</f>
        <v>D</v>
      </c>
      <c r="H126" s="32">
        <f>IF($C$108=1,'2 CARRILES HCM'!L96,'N CARRILES HCM'!L95)</f>
        <v>75.074343802995742</v>
      </c>
      <c r="I126" s="35" t="str">
        <f>IF($C$108=1,'2 CARR CAP VIAL'!I401,'AUTOPIS CAPACIDAD VIAL'!F414)</f>
        <v>E</v>
      </c>
      <c r="J126" s="69">
        <f>IF($C$108=1,'2 CARR CAP VIAL'!J401,'AUTOPIS CAPACIDAD VIAL'!L95)</f>
        <v>72</v>
      </c>
    </row>
    <row r="127" spans="1:10" x14ac:dyDescent="0.25">
      <c r="A127" s="47"/>
      <c r="B127" s="47"/>
      <c r="C127" s="47"/>
      <c r="D127" s="47"/>
      <c r="E127" s="31">
        <v>19</v>
      </c>
      <c r="F127" s="32">
        <f>IF($C$108=1,'2 CARRILES HCM'!J97,'N CARRILES HCM'!J96)</f>
        <v>15781.554477693902</v>
      </c>
      <c r="G127" s="32" t="str">
        <f>IF($C$108=1,'2 CARRILES HCM'!K97,'N CARRILES HCM'!K96)</f>
        <v>D</v>
      </c>
      <c r="H127" s="32">
        <f>IF($C$108=1,'2 CARRILES HCM'!L97,'N CARRILES HCM'!L96)</f>
        <v>74.575584117085612</v>
      </c>
      <c r="I127" s="35" t="str">
        <f>IF($C$108=1,'2 CARR CAP VIAL'!I402,'AUTOPIS CAPACIDAD VIAL'!F415)</f>
        <v>E</v>
      </c>
      <c r="J127" s="69">
        <f>IF($C$108=1,'2 CARR CAP VIAL'!J402,'AUTOPIS CAPACIDAD VIAL'!L96)</f>
        <v>72</v>
      </c>
    </row>
    <row r="128" spans="1:10" x14ac:dyDescent="0.25">
      <c r="A128" s="47"/>
      <c r="B128" s="47"/>
      <c r="C128" s="47"/>
      <c r="D128" s="47"/>
      <c r="E128" s="31">
        <v>20</v>
      </c>
      <c r="F128" s="32">
        <f>IF($C$108=1,'2 CARRILES HCM'!J98,'N CARRILES HCM'!J97)</f>
        <v>16255.001112024722</v>
      </c>
      <c r="G128" s="32" t="str">
        <f>IF($C$108=1,'2 CARRILES HCM'!K98,'N CARRILES HCM'!K97)</f>
        <v>D</v>
      </c>
      <c r="H128" s="32">
        <f>IF($C$108=1,'2 CARRILES HCM'!L98,'N CARRILES HCM'!L97)</f>
        <v>74.061861640598181</v>
      </c>
      <c r="I128" s="35" t="str">
        <f>IF($C$108=1,'2 CARR CAP VIAL'!I403,'AUTOPIS CAPACIDAD VIAL'!F416)</f>
        <v>E</v>
      </c>
      <c r="J128" s="69">
        <f>IF($C$108=1,'2 CARR CAP VIAL'!J403,'AUTOPIS CAPACIDAD VIAL'!L97)</f>
        <v>72</v>
      </c>
    </row>
    <row r="129" spans="1:10" x14ac:dyDescent="0.25">
      <c r="A129" s="47"/>
      <c r="B129" s="47"/>
      <c r="C129" s="47"/>
      <c r="D129" s="47"/>
      <c r="E129" s="31">
        <v>21</v>
      </c>
      <c r="F129" s="32">
        <f>IF($C$108=1,'2 CARRILES HCM'!J99,'N CARRILES HCM'!J98)</f>
        <v>16742.651145385458</v>
      </c>
      <c r="G129" s="32" t="str">
        <f>IF($C$108=1,'2 CARRILES HCM'!K99,'N CARRILES HCM'!K98)</f>
        <v>D</v>
      </c>
      <c r="H129" s="32">
        <f>IF($C$108=1,'2 CARRILES HCM'!L99,'N CARRILES HCM'!L98)</f>
        <v>73.532727489816125</v>
      </c>
      <c r="I129" s="35" t="str">
        <f>IF($C$108=1,'2 CARR CAP VIAL'!I404,'AUTOPIS CAPACIDAD VIAL'!F417)</f>
        <v>E</v>
      </c>
      <c r="J129" s="69">
        <f>IF($C$108=1,'2 CARR CAP VIAL'!J404,'AUTOPIS CAPACIDAD VIAL'!L98)</f>
        <v>72</v>
      </c>
    </row>
    <row r="130" spans="1:10" x14ac:dyDescent="0.25">
      <c r="A130" s="47"/>
      <c r="B130" s="47"/>
      <c r="C130" s="47"/>
      <c r="D130" s="47"/>
      <c r="E130" s="31">
        <v>22</v>
      </c>
      <c r="F130" s="32">
        <f>IF($C$108=1,'2 CARRILES HCM'!J100,'N CARRILES HCM'!J99)</f>
        <v>17244.930679747024</v>
      </c>
      <c r="G130" s="32" t="str">
        <f>IF($C$108=1,'2 CARRILES HCM'!K100,'N CARRILES HCM'!K99)</f>
        <v>E</v>
      </c>
      <c r="H130" s="32">
        <f>IF($C$108=1,'2 CARRILES HCM'!L100,'N CARRILES HCM'!L99)</f>
        <v>60</v>
      </c>
      <c r="I130" s="35" t="str">
        <f>IF($C$108=1,'2 CARR CAP VIAL'!I405,'AUTOPIS CAPACIDAD VIAL'!F418)</f>
        <v>E</v>
      </c>
      <c r="J130" s="69">
        <f>IF($C$108=1,'2 CARR CAP VIAL'!J405,'AUTOPIS CAPACIDAD VIAL'!L99)</f>
        <v>72</v>
      </c>
    </row>
    <row r="131" spans="1:10" x14ac:dyDescent="0.25">
      <c r="A131" s="47"/>
      <c r="B131" s="47"/>
      <c r="C131" s="47"/>
      <c r="D131" s="47"/>
      <c r="E131" s="31">
        <v>23</v>
      </c>
      <c r="F131" s="32">
        <f>IF($C$108=1,'2 CARRILES HCM'!J101,'N CARRILES HCM'!J100)</f>
        <v>17762.278600139434</v>
      </c>
      <c r="G131" s="32" t="str">
        <f>IF($C$108=1,'2 CARRILES HCM'!K101,'N CARRILES HCM'!K100)</f>
        <v>E</v>
      </c>
      <c r="H131" s="32">
        <f>IF($C$108=1,'2 CARRILES HCM'!L101,'N CARRILES HCM'!L100)</f>
        <v>60</v>
      </c>
      <c r="I131" s="35" t="str">
        <f>IF($C$108=1,'2 CARR CAP VIAL'!I406,'AUTOPIS CAPACIDAD VIAL'!F419)</f>
        <v>E</v>
      </c>
      <c r="J131" s="69">
        <f>IF($C$108=1,'2 CARR CAP VIAL'!J406,'AUTOPIS CAPACIDAD VIAL'!L100)</f>
        <v>72</v>
      </c>
    </row>
    <row r="132" spans="1:10" x14ac:dyDescent="0.25">
      <c r="A132" s="47"/>
      <c r="B132" s="47"/>
      <c r="C132" s="47"/>
      <c r="D132" s="47"/>
      <c r="E132" s="31">
        <v>24</v>
      </c>
      <c r="F132" s="32">
        <f>IF($C$108=1,'2 CARRILES HCM'!J102,'N CARRILES HCM'!J101)</f>
        <v>18295.146958143618</v>
      </c>
      <c r="G132" s="32" t="str">
        <f>IF($C$108=1,'2 CARRILES HCM'!K102,'N CARRILES HCM'!K101)</f>
        <v>E</v>
      </c>
      <c r="H132" s="32">
        <f>IF($C$108=1,'2 CARRILES HCM'!L102,'N CARRILES HCM'!L101)</f>
        <v>60</v>
      </c>
      <c r="I132" s="35" t="str">
        <f>IF($C$108=1,'2 CARR CAP VIAL'!I407,'AUTOPIS CAPACIDAD VIAL'!F420)</f>
        <v>E</v>
      </c>
      <c r="J132" s="69">
        <f>IF($C$108=1,'2 CARR CAP VIAL'!J407,'AUTOPIS CAPACIDAD VIAL'!L101)</f>
        <v>72</v>
      </c>
    </row>
    <row r="133" spans="1:10" x14ac:dyDescent="0.25">
      <c r="E133" s="31">
        <v>25</v>
      </c>
      <c r="F133" s="32">
        <f>IF($C$108=1,'2 CARRILES HCM'!J103,'N CARRILES HCM'!J102)</f>
        <v>18844.001366887926</v>
      </c>
      <c r="G133" s="32" t="str">
        <f>IF($C$108=1,'2 CARRILES HCM'!K103,'N CARRILES HCM'!K102)</f>
        <v>E</v>
      </c>
      <c r="H133" s="32">
        <f>IF($C$108=1,'2 CARRILES HCM'!L103,'N CARRILES HCM'!L102)</f>
        <v>60</v>
      </c>
      <c r="I133" s="35" t="str">
        <f>IF($C$108=1,'2 CARR CAP VIAL'!I408,'AUTOPIS CAPACIDAD VIAL'!F421)</f>
        <v>E</v>
      </c>
      <c r="J133" s="69">
        <f>IF($C$108=1,'2 CARR CAP VIAL'!J408,'AUTOPIS CAPACIDAD VIAL'!L102)</f>
        <v>72</v>
      </c>
    </row>
    <row r="134" spans="1:10" x14ac:dyDescent="0.25">
      <c r="E134" s="31">
        <v>26</v>
      </c>
      <c r="F134" s="32">
        <f>IF($C$108=1,'2 CARRILES HCM'!J104,'N CARRILES HCM'!J103)</f>
        <v>19409.321407894564</v>
      </c>
      <c r="G134" s="32" t="str">
        <f>IF($C$108=1,'2 CARRILES HCM'!K104,'N CARRILES HCM'!K103)</f>
        <v>E</v>
      </c>
      <c r="H134" s="32">
        <f>IF($C$108=1,'2 CARRILES HCM'!L104,'N CARRILES HCM'!L103)</f>
        <v>60</v>
      </c>
      <c r="I134" s="35" t="str">
        <f>IF($C$108=1,'2 CARR CAP VIAL'!I409,'AUTOPIS CAPACIDAD VIAL'!F422)</f>
        <v>E</v>
      </c>
      <c r="J134" s="69">
        <f>IF($C$108=1,'2 CARR CAP VIAL'!J409,'AUTOPIS CAPACIDAD VIAL'!L103)</f>
        <v>72</v>
      </c>
    </row>
    <row r="135" spans="1:10" x14ac:dyDescent="0.25">
      <c r="E135" s="31">
        <v>27</v>
      </c>
      <c r="F135" s="32">
        <f>IF($C$108=1,'2 CARRILES HCM'!J105,'N CARRILES HCM'!J104)</f>
        <v>19991.601050131398</v>
      </c>
      <c r="G135" s="32" t="str">
        <f>IF($C$108=1,'2 CARRILES HCM'!K105,'N CARRILES HCM'!K104)</f>
        <v>E</v>
      </c>
      <c r="H135" s="32">
        <f>IF($C$108=1,'2 CARRILES HCM'!L105,'N CARRILES HCM'!L104)</f>
        <v>60</v>
      </c>
      <c r="I135" s="35" t="str">
        <f>IF($C$108=1,'2 CARR CAP VIAL'!I410,'AUTOPIS CAPACIDAD VIAL'!F423)</f>
        <v>E</v>
      </c>
      <c r="J135" s="69">
        <f>IF($C$108=1,'2 CARR CAP VIAL'!J410,'AUTOPIS CAPACIDAD VIAL'!L104)</f>
        <v>72</v>
      </c>
    </row>
    <row r="136" spans="1:10" x14ac:dyDescent="0.25">
      <c r="E136" s="31">
        <v>28</v>
      </c>
      <c r="F136" s="32">
        <f>IF($C$108=1,'2 CARRILES HCM'!J106,'N CARRILES HCM'!J105)</f>
        <v>20591.349081635344</v>
      </c>
      <c r="G136" s="32" t="str">
        <f>IF($C$108=1,'2 CARRILES HCM'!K106,'N CARRILES HCM'!K105)</f>
        <v>E</v>
      </c>
      <c r="H136" s="32">
        <f>IF($C$108=1,'2 CARRILES HCM'!L106,'N CARRILES HCM'!L105)</f>
        <v>60</v>
      </c>
      <c r="I136" s="35" t="str">
        <f>IF($C$108=1,'2 CARR CAP VIAL'!I411,'AUTOPIS CAPACIDAD VIAL'!F424)</f>
        <v>E</v>
      </c>
      <c r="J136" s="69">
        <f>IF($C$108=1,'2 CARR CAP VIAL'!J411,'AUTOPIS CAPACIDAD VIAL'!L105)</f>
        <v>72</v>
      </c>
    </row>
    <row r="137" spans="1:10" x14ac:dyDescent="0.25">
      <c r="E137" s="31">
        <v>29</v>
      </c>
      <c r="F137" s="32">
        <f>IF($C$108=1,'2 CARRILES HCM'!J107,'N CARRILES HCM'!J106)</f>
        <v>21209.089554084399</v>
      </c>
      <c r="G137" s="32" t="str">
        <f>IF($C$108=1,'2 CARRILES HCM'!K107,'N CARRILES HCM'!K106)</f>
        <v>E</v>
      </c>
      <c r="H137" s="32">
        <f>IF($C$108=1,'2 CARRILES HCM'!L107,'N CARRILES HCM'!L106)</f>
        <v>60</v>
      </c>
      <c r="I137" s="35" t="str">
        <f>IF($C$108=1,'2 CARR CAP VIAL'!I412,'AUTOPIS CAPACIDAD VIAL'!F425)</f>
        <v>E</v>
      </c>
      <c r="J137" s="69">
        <f>IF($C$108=1,'2 CARR CAP VIAL'!J412,'AUTOPIS CAPACIDAD VIAL'!L106)</f>
        <v>72</v>
      </c>
    </row>
    <row r="138" spans="1:10" x14ac:dyDescent="0.25">
      <c r="E138" s="31">
        <v>30</v>
      </c>
      <c r="F138" s="32">
        <f>IF($C$108=1,'2 CARRILES HCM'!J108,'N CARRILES HCM'!J107)</f>
        <v>21845.362240706934</v>
      </c>
      <c r="G138" s="32" t="str">
        <f>IF($C$108=1,'2 CARRILES HCM'!K108,'N CARRILES HCM'!K107)</f>
        <v>E</v>
      </c>
      <c r="H138" s="32">
        <f>IF($C$108=1,'2 CARRILES HCM'!L108,'N CARRILES HCM'!L107)</f>
        <v>60</v>
      </c>
      <c r="I138" s="35" t="str">
        <f>IF($C$108=1,'2 CARR CAP VIAL'!I413,'AUTOPIS CAPACIDAD VIAL'!F426)</f>
        <v>E</v>
      </c>
      <c r="J138" s="69">
        <f>IF($C$108=1,'2 CARR CAP VIAL'!J413,'AUTOPIS CAPACIDAD VIAL'!L107)</f>
        <v>72</v>
      </c>
    </row>
    <row r="139" spans="1:10" x14ac:dyDescent="0.25">
      <c r="E139" s="31">
        <v>31</v>
      </c>
      <c r="F139" s="32">
        <f>IF($C$108=1,'2 CARRILES HCM'!J109,'N CARRILES HCM'!J108)</f>
        <v>22500.723107928145</v>
      </c>
      <c r="G139" s="32" t="str">
        <f>IF($C$108=1,'2 CARRILES HCM'!K109,'N CARRILES HCM'!K108)</f>
        <v>E</v>
      </c>
      <c r="H139" s="32">
        <f>IF($C$108=1,'2 CARRILES HCM'!L109,'N CARRILES HCM'!L108)</f>
        <v>60</v>
      </c>
      <c r="I139" s="35" t="str">
        <f>IF($C$108=1,'2 CARR CAP VIAL'!I414,'AUTOPIS CAPACIDAD VIAL'!F427)</f>
        <v>E</v>
      </c>
      <c r="J139" s="69">
        <f>IF($C$108=1,'2 CARR CAP VIAL'!J414,'AUTOPIS CAPACIDAD VIAL'!L108)</f>
        <v>72</v>
      </c>
    </row>
    <row r="140" spans="1:10" x14ac:dyDescent="0.25">
      <c r="E140" s="31">
        <v>32</v>
      </c>
      <c r="F140" s="32">
        <f>IF($C$108=1,'2 CARRILES HCM'!J110,'N CARRILES HCM'!J109)</f>
        <v>23175.744801165984</v>
      </c>
      <c r="G140" s="32" t="str">
        <f>IF($C$108=1,'2 CARRILES HCM'!K110,'N CARRILES HCM'!K109)</f>
        <v>E</v>
      </c>
      <c r="H140" s="32">
        <f>IF($C$108=1,'2 CARRILES HCM'!L110,'N CARRILES HCM'!L109)</f>
        <v>60</v>
      </c>
      <c r="I140" s="35" t="str">
        <f>IF($C$108=1,'2 CARR CAP VIAL'!I415,'AUTOPIS CAPACIDAD VIAL'!F428)</f>
        <v>E</v>
      </c>
      <c r="J140" s="69">
        <f>IF($C$108=1,'2 CARR CAP VIAL'!J415,'AUTOPIS CAPACIDAD VIAL'!L109)</f>
        <v>72</v>
      </c>
    </row>
    <row r="141" spans="1:10" x14ac:dyDescent="0.25">
      <c r="A141" s="38" t="s">
        <v>30</v>
      </c>
      <c r="B141" s="38"/>
      <c r="C141" s="38"/>
      <c r="D141" s="38"/>
      <c r="E141" s="39"/>
      <c r="F141" s="39"/>
    </row>
    <row r="142" spans="1:10" x14ac:dyDescent="0.25">
      <c r="A142" s="3" t="s">
        <v>31</v>
      </c>
      <c r="B142" s="3"/>
      <c r="C142" s="3"/>
      <c r="D142" s="3"/>
      <c r="E142" s="3"/>
      <c r="F142" s="3"/>
    </row>
    <row r="143" spans="1:10" x14ac:dyDescent="0.25">
      <c r="A143" s="40" t="s">
        <v>32</v>
      </c>
      <c r="B143" s="40">
        <f>IF(C21=1,'Cálculos análisis C-B '!G35,IF(C21=2,'Cálculos análisis C-B '!G82,IF(C21=3,'Cálculos análisis C-B '!G128)))</f>
        <v>893.78271587308734</v>
      </c>
      <c r="C143" s="40" t="s">
        <v>33</v>
      </c>
      <c r="D143" s="40"/>
    </row>
    <row r="144" spans="1:10" x14ac:dyDescent="0.25">
      <c r="A144" s="40" t="s">
        <v>34</v>
      </c>
      <c r="B144" s="521">
        <f>IF(C21=1,'Cálculos análisis C-B '!G36,IF(C21=2,'Cálculos análisis C-B '!G83,IF(C21=3,'Cálculos análisis C-B '!G129)))</f>
        <v>0.20294183969821944</v>
      </c>
    </row>
    <row r="145" spans="1:4" x14ac:dyDescent="0.25">
      <c r="A145" s="41" t="s">
        <v>35</v>
      </c>
      <c r="B145" s="523">
        <f>IF(C21=1,'Cálculos análisis C-B '!G37,IF(C21=2,'Cálculos análisis C-B '!G84,IF(C21=3,'Cálculos análisis C-B '!G130)))</f>
        <v>2.059525046385156</v>
      </c>
    </row>
    <row r="146" spans="1:4" x14ac:dyDescent="0.25">
      <c r="A146" s="41" t="s">
        <v>36</v>
      </c>
      <c r="B146" s="524">
        <f>IF(C21=1,'Cálculos análisis C-B '!G38,IF(C21=2,'Cálculos análisis C-B '!G85,IF(C21=3,'Cálculos análisis C-B '!G131)))</f>
        <v>0.28395895983267133</v>
      </c>
      <c r="D146" t="s">
        <v>37</v>
      </c>
    </row>
    <row r="147" spans="1:4" x14ac:dyDescent="0.25">
      <c r="A147" s="41" t="s">
        <v>38</v>
      </c>
      <c r="B147" s="521">
        <f>IF(C21=1,'Cálculos análisis C-B '!G39,IF(C21=2,'Cálculos análisis C-B '!G86,IF(C21=3,'Cálculos análisis C-B '!G132)))</f>
        <v>0.28395895983267133</v>
      </c>
      <c r="D147" t="s">
        <v>39</v>
      </c>
    </row>
    <row r="148" spans="1:4" x14ac:dyDescent="0.25">
      <c r="A148" s="3" t="s">
        <v>40</v>
      </c>
      <c r="B148" s="3"/>
    </row>
    <row r="149" spans="1:4" x14ac:dyDescent="0.25">
      <c r="A149" s="42" t="s">
        <v>41</v>
      </c>
      <c r="B149" s="43"/>
      <c r="C149" s="522">
        <f>IF(C21=1,'Cálculos análisis C-B '!G40,IF(C21=2,'Cálculos análisis C-B '!G87,IF(C21=3,'Cálculos análisis C-B '!G133)))</f>
        <v>12</v>
      </c>
    </row>
    <row r="150" spans="1:4" x14ac:dyDescent="0.25">
      <c r="A150" s="44" t="s">
        <v>34</v>
      </c>
      <c r="B150" s="40" t="str">
        <f>IF(B144&gt;'Cálculos análisis C-B '!E36,"SI CUMPLE","NO CUMPLE")</f>
        <v>SI CUMPLE</v>
      </c>
    </row>
    <row r="151" spans="1:4" x14ac:dyDescent="0.25">
      <c r="A151" s="44" t="s">
        <v>32</v>
      </c>
      <c r="B151" s="40" t="str">
        <f>IF(B143&gt;0,"SI CUMPLE","NO CUMPLE")</f>
        <v>SI CUMPLE</v>
      </c>
    </row>
    <row r="152" spans="1:4" x14ac:dyDescent="0.25">
      <c r="A152" s="29" t="s">
        <v>35</v>
      </c>
      <c r="B152" s="40" t="str">
        <f>IF(B145&gt;1,"SI CUMPLE","NO CUMPLE")</f>
        <v>SI CUMPLE</v>
      </c>
    </row>
    <row r="153" spans="1:4" x14ac:dyDescent="0.25">
      <c r="A153" s="561"/>
      <c r="B153" s="562"/>
    </row>
    <row r="154" spans="1:4" x14ac:dyDescent="0.25">
      <c r="A154" s="70" t="s">
        <v>539</v>
      </c>
    </row>
    <row r="155" spans="1:4" x14ac:dyDescent="0.25">
      <c r="A155" s="514" t="s">
        <v>524</v>
      </c>
      <c r="B155" s="514">
        <f>IF($C$21=3,'Cálculos análisis C-B '!M129,IF($C$21=2,'Cálculos análisis C-B '!N83,'Cálculos análisis C-B '!N37))</f>
        <v>47.748380349362201</v>
      </c>
    </row>
    <row r="156" spans="1:4" x14ac:dyDescent="0.25">
      <c r="A156" s="514" t="s">
        <v>525</v>
      </c>
      <c r="B156" s="514">
        <f>IF($C$21=3,'Cálculos análisis C-B '!M130,IF($C$21=2,'Cálculos análisis C-B '!N84,'Cálculos análisis C-B '!N38))</f>
        <v>98.338985253836256</v>
      </c>
    </row>
    <row r="157" spans="1:4" x14ac:dyDescent="0.25">
      <c r="A157" s="514" t="s">
        <v>526</v>
      </c>
      <c r="B157" s="514">
        <f>IF($C$21=3,'Cálculos análisis C-B '!M131,IF($C$21=2,'Cálculos análisis C-B '!N85,'Cálculos análisis C-B '!N39))</f>
        <v>57.249479332098694</v>
      </c>
    </row>
    <row r="158" spans="1:4" x14ac:dyDescent="0.25">
      <c r="B158" s="257"/>
    </row>
    <row r="159" spans="1:4" x14ac:dyDescent="0.25">
      <c r="A159" s="70" t="s">
        <v>538</v>
      </c>
      <c r="B159" s="257"/>
    </row>
    <row r="160" spans="1:4" x14ac:dyDescent="0.25">
      <c r="A160" s="514" t="s">
        <v>524</v>
      </c>
      <c r="B160" s="514">
        <f>IF($C$21=3,'Cálculos análisis C-B '!M134,IF($C$21=2,'Cálculos análisis C-B '!N88,'Cálculos análisis C-B '!N42))</f>
        <v>0.68211971927660286</v>
      </c>
    </row>
    <row r="161" spans="1:2" x14ac:dyDescent="0.25">
      <c r="A161" s="514" t="s">
        <v>525</v>
      </c>
      <c r="B161" s="514">
        <f>IF($C$21=3,'Cálculos análisis C-B '!M135,IF($C$21=2,'Cálculos análisis C-B '!N89,'Cálculos análisis C-B '!N43))</f>
        <v>1.404842646483375</v>
      </c>
    </row>
    <row r="162" spans="1:2" x14ac:dyDescent="0.25">
      <c r="A162" s="514" t="s">
        <v>526</v>
      </c>
      <c r="B162" s="514">
        <f>IF($C$21=3,'Cálculos análisis C-B '!M136,IF($C$21=2,'Cálculos análisis C-B '!N90,'Cálculos análisis C-B '!N44))</f>
        <v>0.8178497047442671</v>
      </c>
    </row>
  </sheetData>
  <mergeCells count="4">
    <mergeCell ref="A87:C87"/>
    <mergeCell ref="C34:C35"/>
    <mergeCell ref="A21:B21"/>
    <mergeCell ref="A20:B20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1756"/>
  <sheetViews>
    <sheetView topLeftCell="A235" zoomScale="80" zoomScaleNormal="80" workbookViewId="0">
      <selection activeCell="C134" sqref="C134"/>
    </sheetView>
  </sheetViews>
  <sheetFormatPr baseColWidth="10" defaultRowHeight="15" x14ac:dyDescent="0.25"/>
  <cols>
    <col min="1" max="1" width="16" customWidth="1"/>
    <col min="2" max="2" width="13.42578125" customWidth="1"/>
    <col min="3" max="5" width="12.140625" bestFit="1" customWidth="1"/>
    <col min="8" max="8" width="15.7109375" customWidth="1"/>
    <col min="10" max="10" width="13" customWidth="1"/>
    <col min="11" max="11" width="14.42578125" customWidth="1"/>
    <col min="12" max="12" width="12.140625" bestFit="1" customWidth="1"/>
    <col min="13" max="13" width="15.28515625" customWidth="1"/>
  </cols>
  <sheetData>
    <row r="2" spans="1:12" x14ac:dyDescent="0.25">
      <c r="A2" s="269" t="s">
        <v>232</v>
      </c>
    </row>
    <row r="3" spans="1:12" ht="15.75" thickBot="1" x14ac:dyDescent="0.3">
      <c r="A3" s="269" t="s">
        <v>236</v>
      </c>
      <c r="K3" t="s">
        <v>498</v>
      </c>
      <c r="L3" s="495" t="str">
        <f>'DATOS DE ENTRADA'!C34</f>
        <v>m</v>
      </c>
    </row>
    <row r="4" spans="1:12" ht="15.75" thickTop="1" x14ac:dyDescent="0.25">
      <c r="A4" s="275" t="s">
        <v>237</v>
      </c>
      <c r="B4" s="276" t="s">
        <v>233</v>
      </c>
      <c r="C4" s="276" t="s">
        <v>234</v>
      </c>
      <c r="D4" s="277" t="s">
        <v>235</v>
      </c>
    </row>
    <row r="5" spans="1:12" ht="15.75" thickBot="1" x14ac:dyDescent="0.3">
      <c r="A5" s="275">
        <v>2</v>
      </c>
      <c r="B5" s="278">
        <v>84.34</v>
      </c>
      <c r="C5" s="279">
        <v>66.72</v>
      </c>
      <c r="D5" s="279">
        <v>51.76</v>
      </c>
      <c r="F5" t="s">
        <v>239</v>
      </c>
    </row>
    <row r="6" spans="1:12" x14ac:dyDescent="0.25">
      <c r="A6" s="275">
        <v>3</v>
      </c>
      <c r="B6" s="280">
        <v>83.855999999999995</v>
      </c>
      <c r="C6" s="279">
        <v>66.88</v>
      </c>
      <c r="D6" s="279">
        <v>51.61</v>
      </c>
      <c r="F6" s="284" t="s">
        <v>237</v>
      </c>
      <c r="G6" s="292" t="s">
        <v>233</v>
      </c>
      <c r="H6" s="292" t="s">
        <v>234</v>
      </c>
      <c r="I6" s="293" t="s">
        <v>235</v>
      </c>
    </row>
    <row r="7" spans="1:12" ht="19.5" thickBot="1" x14ac:dyDescent="0.35">
      <c r="A7" s="275">
        <v>4</v>
      </c>
      <c r="B7" s="278">
        <v>82.45</v>
      </c>
      <c r="C7" s="279">
        <v>65.94</v>
      </c>
      <c r="D7" s="279">
        <v>51.46</v>
      </c>
      <c r="E7" s="281"/>
      <c r="F7" s="294">
        <v>0</v>
      </c>
      <c r="G7" s="295">
        <f>0.00002*(F7)^3+0.003*(F7)^2+0.008*(F7)+1.013</f>
        <v>1.0129999999999999</v>
      </c>
      <c r="H7" s="295">
        <f>-0.00006*(F7)^3+0.004*(F7)^2-0.002*(F7)+1.146</f>
        <v>1.1459999999999999</v>
      </c>
      <c r="I7" s="296">
        <f>0.00009*(F7)^3+0.001*(F7)^2+0.02*(F7)+1.263</f>
        <v>1.2629999999999999</v>
      </c>
    </row>
    <row r="8" spans="1:12" ht="18.75" x14ac:dyDescent="0.3">
      <c r="A8" s="275">
        <v>5</v>
      </c>
      <c r="B8" s="280">
        <v>80.510000000000005</v>
      </c>
      <c r="C8" s="279">
        <v>65.39</v>
      </c>
      <c r="D8" s="279">
        <v>51.11</v>
      </c>
      <c r="E8" s="281"/>
    </row>
    <row r="9" spans="1:12" ht="18.75" x14ac:dyDescent="0.3">
      <c r="A9" s="275">
        <v>6</v>
      </c>
      <c r="B9" s="278">
        <v>78.040000000000006</v>
      </c>
      <c r="C9" s="279">
        <v>64.08</v>
      </c>
      <c r="D9" s="279">
        <v>50.76</v>
      </c>
      <c r="E9" s="281"/>
    </row>
    <row r="10" spans="1:12" ht="18.75" x14ac:dyDescent="0.3">
      <c r="A10" s="275">
        <v>7</v>
      </c>
      <c r="B10" s="280">
        <v>74.715999999999994</v>
      </c>
      <c r="C10" s="279">
        <v>62.701999999999998</v>
      </c>
      <c r="D10" s="279">
        <v>50.12</v>
      </c>
      <c r="E10" s="281"/>
    </row>
    <row r="11" spans="1:12" ht="18.75" x14ac:dyDescent="0.3">
      <c r="A11" s="275">
        <v>8</v>
      </c>
      <c r="B11" s="278">
        <v>71.39</v>
      </c>
      <c r="C11" s="279">
        <v>60.9</v>
      </c>
      <c r="D11" s="279">
        <v>49.48</v>
      </c>
      <c r="E11" s="281"/>
    </row>
    <row r="12" spans="1:12" ht="18.75" x14ac:dyDescent="0.3">
      <c r="A12" s="275">
        <v>9</v>
      </c>
      <c r="B12" s="280">
        <v>67.481999999999999</v>
      </c>
      <c r="C12" s="279">
        <v>59</v>
      </c>
      <c r="D12" s="279">
        <v>48.54</v>
      </c>
      <c r="E12" s="281"/>
    </row>
    <row r="13" spans="1:12" ht="18.75" x14ac:dyDescent="0.3">
      <c r="A13" s="275">
        <v>10</v>
      </c>
      <c r="B13" s="278">
        <v>63.87</v>
      </c>
      <c r="C13" s="279">
        <v>56.69</v>
      </c>
      <c r="D13" s="279">
        <v>47.59</v>
      </c>
      <c r="E13" s="281"/>
    </row>
    <row r="14" spans="1:12" ht="18.75" x14ac:dyDescent="0.3">
      <c r="A14" s="275">
        <v>11</v>
      </c>
      <c r="B14" s="280">
        <v>59.816000000000003</v>
      </c>
      <c r="C14" s="279">
        <v>54.494</v>
      </c>
      <c r="D14" s="279">
        <v>46.38</v>
      </c>
      <c r="E14" s="281"/>
    </row>
    <row r="15" spans="1:12" ht="19.5" thickBot="1" x14ac:dyDescent="0.35">
      <c r="A15" s="282">
        <v>12</v>
      </c>
      <c r="B15" s="283">
        <v>56.69</v>
      </c>
      <c r="C15" s="279">
        <v>52.01</v>
      </c>
      <c r="D15" s="279">
        <v>45.17</v>
      </c>
      <c r="E15" s="281"/>
    </row>
    <row r="17" spans="1:14" x14ac:dyDescent="0.25">
      <c r="A17" s="239" t="s">
        <v>241</v>
      </c>
      <c r="B17" s="239"/>
    </row>
    <row r="18" spans="1:14" x14ac:dyDescent="0.25">
      <c r="A18" t="s">
        <v>226</v>
      </c>
      <c r="C18" t="s">
        <v>227</v>
      </c>
    </row>
    <row r="19" spans="1:14" x14ac:dyDescent="0.25">
      <c r="A19" s="43" t="s">
        <v>228</v>
      </c>
      <c r="B19" s="43">
        <f>'[1]DATOS DE ENTRADA'!D35</f>
        <v>3.64</v>
      </c>
    </row>
    <row r="20" spans="1:14" x14ac:dyDescent="0.25">
      <c r="A20" s="43" t="s">
        <v>99</v>
      </c>
      <c r="B20" s="169" t="str">
        <f>'DATOS DE ENTRADA'!C8</f>
        <v>P</v>
      </c>
      <c r="C20" s="575" t="s">
        <v>229</v>
      </c>
      <c r="D20" s="575"/>
      <c r="E20" s="575"/>
      <c r="F20" s="575" t="s">
        <v>230</v>
      </c>
      <c r="G20" s="576"/>
      <c r="H20" s="576"/>
      <c r="I20" s="575" t="s">
        <v>231</v>
      </c>
      <c r="J20" s="575"/>
      <c r="K20" s="575"/>
      <c r="L20" s="575" t="s">
        <v>240</v>
      </c>
      <c r="M20" s="575"/>
      <c r="N20" s="575"/>
    </row>
    <row r="21" spans="1:14" x14ac:dyDescent="0.25">
      <c r="A21" s="35" t="s">
        <v>18</v>
      </c>
      <c r="B21" s="95" t="s">
        <v>20</v>
      </c>
      <c r="C21" s="270" t="s">
        <v>233</v>
      </c>
      <c r="D21" s="270" t="s">
        <v>234</v>
      </c>
      <c r="E21" s="270" t="s">
        <v>235</v>
      </c>
      <c r="F21" s="270" t="s">
        <v>233</v>
      </c>
      <c r="G21" s="270" t="s">
        <v>234</v>
      </c>
      <c r="H21" s="270" t="s">
        <v>235</v>
      </c>
      <c r="I21" s="270" t="s">
        <v>233</v>
      </c>
      <c r="J21" s="270" t="s">
        <v>234</v>
      </c>
      <c r="K21" s="270" t="s">
        <v>235</v>
      </c>
      <c r="L21" s="270" t="s">
        <v>233</v>
      </c>
      <c r="M21" s="270" t="s">
        <v>234</v>
      </c>
      <c r="N21" s="270" t="s">
        <v>235</v>
      </c>
    </row>
    <row r="22" spans="1:14" x14ac:dyDescent="0.25">
      <c r="A22" s="271">
        <v>0</v>
      </c>
      <c r="B22" s="272">
        <f>IF($L$3="m",'DATOS DE ENTRADA'!J38,'DATOS DE ENTRADA'!H38)</f>
        <v>83</v>
      </c>
      <c r="C22" s="273">
        <f>B22</f>
        <v>83</v>
      </c>
      <c r="D22" s="273">
        <f>C22</f>
        <v>83</v>
      </c>
      <c r="E22" s="273">
        <f>D22</f>
        <v>83</v>
      </c>
      <c r="F22" s="107">
        <f>IF(C22&gt;$B$5,$A$5,IF(C22&gt;$B$6,$A$6,IF(C22&gt;$B$7,$A$7,IF(C22&gt;$B$8,$A$8,IF(C22&gt;$B$9,$A$9,IF(C22&gt;$B$10,$A$10,IF(C22&gt;$B$11,$A$11,IF(C22&gt;$B$12,$A$12,IF(C22&gt;$B$13,$A$13,IF(C22&gt;$B$14,$A$14,IF(C22&gt;$B$15,$A$15,12)))))))))))</f>
        <v>4</v>
      </c>
      <c r="G22" s="107">
        <f>IF(D22&gt;$C$5,$A$5,IF(D22&gt;$C$6,$A$6,IF(D22&gt;$C$7,$A$7,IF(D22&gt;$C$8,$A$8,IF(D22&gt;$C$9,$A$9,IF(D22&gt;$C$10,$A$10,IF(D22&gt;$C$11,$A$11,IF(D22&gt;$C$12,$A$12,IF(D22&gt;$C$13,$A$13,IF(D22&gt;$C$14,$A$14,IF(D22&gt;$C$15,$A$15,12)))))))))))</f>
        <v>2</v>
      </c>
      <c r="H22" s="107">
        <f>IF(E22&gt;$D$5,$A$5,IF(E22&gt;$D$6,$A$6,IF(E22&gt;$D$7,$A$7,IF(E22&gt;$D$8,$A$8,IF(E22&gt;$D$9,$A$9,IF(E22&gt;$D$10,$A$10,IF(E22&gt;$D$11,$A$11,IF(E22&gt;$D$12,$A$12,IF(E22&gt;$D$13,$A$13,IF(E22&gt;$D$14,$A$14,IF(E22&gt;$D$15,$A$15,12)))))))))))</f>
        <v>2</v>
      </c>
      <c r="I22" s="274">
        <f>0.00002*(F22)^3+0.003*(F22)^2+0.008*(F22)+1.013</f>
        <v>1.0942799999999999</v>
      </c>
      <c r="J22" s="274">
        <f>-0.00006*(G22)^3+0.004*(G22)^2-0.002*(G22)+1.146</f>
        <v>1.1575199999999999</v>
      </c>
      <c r="K22" s="274">
        <f>0.00009*(H22)^3+0.001*(H22)^2+0.02*(H22)+1.263</f>
        <v>1.30772</v>
      </c>
      <c r="L22" s="204">
        <f>$B$19*I22</f>
        <v>3.9831791999999999</v>
      </c>
      <c r="M22" s="204">
        <f>$B$19*J22</f>
        <v>4.2133728000000001</v>
      </c>
      <c r="N22" s="204">
        <f>$B$19*K22</f>
        <v>4.7601008</v>
      </c>
    </row>
    <row r="23" spans="1:14" x14ac:dyDescent="0.25">
      <c r="A23" s="271">
        <v>1</v>
      </c>
      <c r="B23" s="272">
        <f>IF($L$3="m",'DATOS DE ENTRADA'!J39,'DATOS DE ENTRADA'!H39)</f>
        <v>83</v>
      </c>
      <c r="C23" s="273">
        <f t="shared" ref="C23:C54" si="0">B23</f>
        <v>83</v>
      </c>
      <c r="D23" s="273">
        <f t="shared" ref="D23:E52" si="1">C23</f>
        <v>83</v>
      </c>
      <c r="E23" s="273">
        <f t="shared" si="1"/>
        <v>83</v>
      </c>
      <c r="F23" s="107">
        <f t="shared" ref="F23:F54" si="2">IF(C23&gt;$B$5,$A$5,IF(C23&gt;$B$6,$A$6,IF(C23&gt;$B$7,$A$7,IF(C23&gt;$B$8,$A$8,IF(C23&gt;$B$9,$A$9,IF(C23&gt;$B$10,$A$10,IF(C23&gt;$B$11,$A$11,IF(C23&gt;$B$12,$A$12,IF(C23&gt;$B$13,$A$13,IF(C23&gt;$B$14,$A$14,IF(C23&gt;$B$15,$A$15,12)))))))))))</f>
        <v>4</v>
      </c>
      <c r="G23" s="107">
        <f t="shared" ref="G23:G54" si="3">IF(D23&gt;$C$5,$A$5,IF(D23&gt;$C$6,$A$6,IF(D23&gt;$C$7,$A$7,IF(D23&gt;$C$8,$A$8,IF(D23&gt;$C$9,$A$9,IF(D23&gt;$C$10,$A$10,IF(D23&gt;$C$11,$A$11,IF(D23&gt;$C$12,$A$12,IF(D23&gt;$C$13,$A$13,IF(D23&gt;$C$14,$A$14,IF(D23&gt;$C$15,$A$15,12)))))))))))</f>
        <v>2</v>
      </c>
      <c r="H23" s="107">
        <f t="shared" ref="H23:H54" si="4">IF(E23&gt;$D$5,$A$5,IF(E23&gt;$D$6,$A$6,IF(E23&gt;$D$7,$A$7,IF(E23&gt;$D$8,$A$8,IF(E23&gt;$D$9,$A$9,IF(E23&gt;$D$10,$A$10,IF(E23&gt;$D$11,$A$11,IF(E23&gt;$D$12,$A$12,IF(E23&gt;$D$13,$A$13,IF(E23&gt;$D$14,$A$14,IF(E23&gt;$D$15,$A$15,12)))))))))))</f>
        <v>2</v>
      </c>
      <c r="I23" s="274">
        <f t="shared" ref="I23:I52" si="5">0.00002*(F23)^3+0.003*(F23)^2+0.008*(F23)+1.013</f>
        <v>1.0942799999999999</v>
      </c>
      <c r="J23" s="274">
        <f t="shared" ref="J23:J52" si="6">-0.00006*(G23)^3+0.004*(G23)^2-0.002*(G23)+1.146</f>
        <v>1.1575199999999999</v>
      </c>
      <c r="K23" s="274">
        <f t="shared" ref="K23:K52" si="7">0.00009*(H23)^3+0.001*(H23)^2+0.02*(H23)+1.263</f>
        <v>1.30772</v>
      </c>
      <c r="L23" s="204">
        <f t="shared" ref="L23:L52" si="8">$B$19*I23</f>
        <v>3.9831791999999999</v>
      </c>
      <c r="M23" s="204">
        <f t="shared" ref="M23:M52" si="9">$B$19*J23</f>
        <v>4.2133728000000001</v>
      </c>
      <c r="N23" s="204">
        <f t="shared" ref="N23:N52" si="10">$B$19*K23</f>
        <v>4.7601008</v>
      </c>
    </row>
    <row r="24" spans="1:14" x14ac:dyDescent="0.25">
      <c r="A24" s="271">
        <v>2</v>
      </c>
      <c r="B24" s="272">
        <f>IF($L$3="m",'DATOS DE ENTRADA'!J40,'DATOS DE ENTRADA'!H40)</f>
        <v>83</v>
      </c>
      <c r="C24" s="273">
        <f t="shared" si="0"/>
        <v>83</v>
      </c>
      <c r="D24" s="273">
        <f t="shared" si="1"/>
        <v>83</v>
      </c>
      <c r="E24" s="273">
        <f t="shared" si="1"/>
        <v>83</v>
      </c>
      <c r="F24" s="107">
        <f t="shared" si="2"/>
        <v>4</v>
      </c>
      <c r="G24" s="107">
        <f t="shared" si="3"/>
        <v>2</v>
      </c>
      <c r="H24" s="107">
        <f t="shared" si="4"/>
        <v>2</v>
      </c>
      <c r="I24" s="274">
        <f t="shared" si="5"/>
        <v>1.0942799999999999</v>
      </c>
      <c r="J24" s="274">
        <f t="shared" si="6"/>
        <v>1.1575199999999999</v>
      </c>
      <c r="K24" s="274">
        <f t="shared" si="7"/>
        <v>1.30772</v>
      </c>
      <c r="L24" s="204">
        <f t="shared" si="8"/>
        <v>3.9831791999999999</v>
      </c>
      <c r="M24" s="204">
        <f t="shared" si="9"/>
        <v>4.2133728000000001</v>
      </c>
      <c r="N24" s="204">
        <f t="shared" si="10"/>
        <v>4.7601008</v>
      </c>
    </row>
    <row r="25" spans="1:14" x14ac:dyDescent="0.25">
      <c r="A25" s="271">
        <v>3</v>
      </c>
      <c r="B25" s="272">
        <f>IF($L$3="m",'DATOS DE ENTRADA'!J41,'DATOS DE ENTRADA'!H41)</f>
        <v>83</v>
      </c>
      <c r="C25" s="273">
        <f t="shared" si="0"/>
        <v>83</v>
      </c>
      <c r="D25" s="273">
        <f t="shared" si="1"/>
        <v>83</v>
      </c>
      <c r="E25" s="273">
        <f t="shared" si="1"/>
        <v>83</v>
      </c>
      <c r="F25" s="107">
        <f t="shared" si="2"/>
        <v>4</v>
      </c>
      <c r="G25" s="107">
        <f t="shared" si="3"/>
        <v>2</v>
      </c>
      <c r="H25" s="107">
        <f t="shared" si="4"/>
        <v>2</v>
      </c>
      <c r="I25" s="274">
        <f t="shared" si="5"/>
        <v>1.0942799999999999</v>
      </c>
      <c r="J25" s="274">
        <f t="shared" si="6"/>
        <v>1.1575199999999999</v>
      </c>
      <c r="K25" s="274">
        <f t="shared" si="7"/>
        <v>1.30772</v>
      </c>
      <c r="L25" s="204">
        <f t="shared" si="8"/>
        <v>3.9831791999999999</v>
      </c>
      <c r="M25" s="204">
        <f t="shared" si="9"/>
        <v>4.2133728000000001</v>
      </c>
      <c r="N25" s="204">
        <f t="shared" si="10"/>
        <v>4.7601008</v>
      </c>
    </row>
    <row r="26" spans="1:14" x14ac:dyDescent="0.25">
      <c r="A26" s="271">
        <v>4</v>
      </c>
      <c r="B26" s="272">
        <f>IF($L$3="m",'DATOS DE ENTRADA'!J42,'DATOS DE ENTRADA'!H42)</f>
        <v>83</v>
      </c>
      <c r="C26" s="273">
        <f t="shared" si="0"/>
        <v>83</v>
      </c>
      <c r="D26" s="273">
        <f t="shared" si="1"/>
        <v>83</v>
      </c>
      <c r="E26" s="273">
        <f t="shared" si="1"/>
        <v>83</v>
      </c>
      <c r="F26" s="107">
        <f t="shared" si="2"/>
        <v>4</v>
      </c>
      <c r="G26" s="107">
        <f t="shared" si="3"/>
        <v>2</v>
      </c>
      <c r="H26" s="107">
        <f t="shared" si="4"/>
        <v>2</v>
      </c>
      <c r="I26" s="274">
        <f t="shared" si="5"/>
        <v>1.0942799999999999</v>
      </c>
      <c r="J26" s="274">
        <f t="shared" si="6"/>
        <v>1.1575199999999999</v>
      </c>
      <c r="K26" s="274">
        <f t="shared" si="7"/>
        <v>1.30772</v>
      </c>
      <c r="L26" s="204">
        <f t="shared" si="8"/>
        <v>3.9831791999999999</v>
      </c>
      <c r="M26" s="204">
        <f t="shared" si="9"/>
        <v>4.2133728000000001</v>
      </c>
      <c r="N26" s="204">
        <f t="shared" si="10"/>
        <v>4.7601008</v>
      </c>
    </row>
    <row r="27" spans="1:14" x14ac:dyDescent="0.25">
      <c r="A27" s="271">
        <v>5</v>
      </c>
      <c r="B27" s="272">
        <f>IF($L$3="m",'DATOS DE ENTRADA'!J43,'DATOS DE ENTRADA'!H43)</f>
        <v>83</v>
      </c>
      <c r="C27" s="273">
        <f t="shared" si="0"/>
        <v>83</v>
      </c>
      <c r="D27" s="273">
        <f t="shared" si="1"/>
        <v>83</v>
      </c>
      <c r="E27" s="273">
        <f t="shared" si="1"/>
        <v>83</v>
      </c>
      <c r="F27" s="107">
        <f t="shared" si="2"/>
        <v>4</v>
      </c>
      <c r="G27" s="107">
        <f t="shared" si="3"/>
        <v>2</v>
      </c>
      <c r="H27" s="107">
        <f t="shared" si="4"/>
        <v>2</v>
      </c>
      <c r="I27" s="274">
        <f t="shared" si="5"/>
        <v>1.0942799999999999</v>
      </c>
      <c r="J27" s="274">
        <f t="shared" si="6"/>
        <v>1.1575199999999999</v>
      </c>
      <c r="K27" s="274">
        <f t="shared" si="7"/>
        <v>1.30772</v>
      </c>
      <c r="L27" s="204">
        <f t="shared" si="8"/>
        <v>3.9831791999999999</v>
      </c>
      <c r="M27" s="204">
        <f t="shared" si="9"/>
        <v>4.2133728000000001</v>
      </c>
      <c r="N27" s="204">
        <f t="shared" si="10"/>
        <v>4.7601008</v>
      </c>
    </row>
    <row r="28" spans="1:14" x14ac:dyDescent="0.25">
      <c r="A28" s="271">
        <v>6</v>
      </c>
      <c r="B28" s="272">
        <f>IF($L$3="m",'DATOS DE ENTRADA'!J44,'DATOS DE ENTRADA'!H44)</f>
        <v>83</v>
      </c>
      <c r="C28" s="273">
        <f t="shared" si="0"/>
        <v>83</v>
      </c>
      <c r="D28" s="273">
        <f t="shared" si="1"/>
        <v>83</v>
      </c>
      <c r="E28" s="273">
        <f t="shared" si="1"/>
        <v>83</v>
      </c>
      <c r="F28" s="107">
        <f t="shared" si="2"/>
        <v>4</v>
      </c>
      <c r="G28" s="107">
        <f t="shared" si="3"/>
        <v>2</v>
      </c>
      <c r="H28" s="107">
        <f t="shared" si="4"/>
        <v>2</v>
      </c>
      <c r="I28" s="274">
        <f t="shared" si="5"/>
        <v>1.0942799999999999</v>
      </c>
      <c r="J28" s="274">
        <f t="shared" si="6"/>
        <v>1.1575199999999999</v>
      </c>
      <c r="K28" s="274">
        <f t="shared" si="7"/>
        <v>1.30772</v>
      </c>
      <c r="L28" s="204">
        <f t="shared" si="8"/>
        <v>3.9831791999999999</v>
      </c>
      <c r="M28" s="204">
        <f t="shared" si="9"/>
        <v>4.2133728000000001</v>
      </c>
      <c r="N28" s="204">
        <f t="shared" si="10"/>
        <v>4.7601008</v>
      </c>
    </row>
    <row r="29" spans="1:14" x14ac:dyDescent="0.25">
      <c r="A29" s="271">
        <v>7</v>
      </c>
      <c r="B29" s="272">
        <f>IF($L$3="m",'DATOS DE ENTRADA'!J45,'DATOS DE ENTRADA'!H45)</f>
        <v>83</v>
      </c>
      <c r="C29" s="273">
        <f t="shared" si="0"/>
        <v>83</v>
      </c>
      <c r="D29" s="273">
        <f t="shared" si="1"/>
        <v>83</v>
      </c>
      <c r="E29" s="273">
        <f t="shared" si="1"/>
        <v>83</v>
      </c>
      <c r="F29" s="107">
        <f t="shared" si="2"/>
        <v>4</v>
      </c>
      <c r="G29" s="107">
        <f t="shared" si="3"/>
        <v>2</v>
      </c>
      <c r="H29" s="107">
        <f t="shared" si="4"/>
        <v>2</v>
      </c>
      <c r="I29" s="274">
        <f t="shared" si="5"/>
        <v>1.0942799999999999</v>
      </c>
      <c r="J29" s="274">
        <f t="shared" si="6"/>
        <v>1.1575199999999999</v>
      </c>
      <c r="K29" s="274">
        <f t="shared" si="7"/>
        <v>1.30772</v>
      </c>
      <c r="L29" s="204">
        <f t="shared" si="8"/>
        <v>3.9831791999999999</v>
      </c>
      <c r="M29" s="204">
        <f t="shared" si="9"/>
        <v>4.2133728000000001</v>
      </c>
      <c r="N29" s="204">
        <f t="shared" si="10"/>
        <v>4.7601008</v>
      </c>
    </row>
    <row r="30" spans="1:14" x14ac:dyDescent="0.25">
      <c r="A30" s="271">
        <v>8</v>
      </c>
      <c r="B30" s="272">
        <f>IF($L$3="m",'DATOS DE ENTRADA'!J46,'DATOS DE ENTRADA'!H46)</f>
        <v>83</v>
      </c>
      <c r="C30" s="273">
        <f t="shared" si="0"/>
        <v>83</v>
      </c>
      <c r="D30" s="273">
        <f t="shared" si="1"/>
        <v>83</v>
      </c>
      <c r="E30" s="273">
        <f t="shared" si="1"/>
        <v>83</v>
      </c>
      <c r="F30" s="107">
        <f t="shared" si="2"/>
        <v>4</v>
      </c>
      <c r="G30" s="107">
        <f t="shared" si="3"/>
        <v>2</v>
      </c>
      <c r="H30" s="107">
        <f t="shared" si="4"/>
        <v>2</v>
      </c>
      <c r="I30" s="274">
        <f t="shared" si="5"/>
        <v>1.0942799999999999</v>
      </c>
      <c r="J30" s="274">
        <f t="shared" si="6"/>
        <v>1.1575199999999999</v>
      </c>
      <c r="K30" s="274">
        <f t="shared" si="7"/>
        <v>1.30772</v>
      </c>
      <c r="L30" s="204">
        <f t="shared" si="8"/>
        <v>3.9831791999999999</v>
      </c>
      <c r="M30" s="204">
        <f t="shared" si="9"/>
        <v>4.2133728000000001</v>
      </c>
      <c r="N30" s="204">
        <f t="shared" si="10"/>
        <v>4.7601008</v>
      </c>
    </row>
    <row r="31" spans="1:14" x14ac:dyDescent="0.25">
      <c r="A31" s="271">
        <v>9</v>
      </c>
      <c r="B31" s="272">
        <f>IF($L$3="m",'DATOS DE ENTRADA'!J47,'DATOS DE ENTRADA'!H47)</f>
        <v>83</v>
      </c>
      <c r="C31" s="273">
        <f t="shared" si="0"/>
        <v>83</v>
      </c>
      <c r="D31" s="273">
        <f t="shared" si="1"/>
        <v>83</v>
      </c>
      <c r="E31" s="273">
        <f t="shared" si="1"/>
        <v>83</v>
      </c>
      <c r="F31" s="107">
        <f t="shared" si="2"/>
        <v>4</v>
      </c>
      <c r="G31" s="107">
        <f t="shared" si="3"/>
        <v>2</v>
      </c>
      <c r="H31" s="107">
        <f t="shared" si="4"/>
        <v>2</v>
      </c>
      <c r="I31" s="274">
        <f t="shared" si="5"/>
        <v>1.0942799999999999</v>
      </c>
      <c r="J31" s="274">
        <f t="shared" si="6"/>
        <v>1.1575199999999999</v>
      </c>
      <c r="K31" s="274">
        <f t="shared" si="7"/>
        <v>1.30772</v>
      </c>
      <c r="L31" s="204">
        <f t="shared" si="8"/>
        <v>3.9831791999999999</v>
      </c>
      <c r="M31" s="204">
        <f t="shared" si="9"/>
        <v>4.2133728000000001</v>
      </c>
      <c r="N31" s="204">
        <f t="shared" si="10"/>
        <v>4.7601008</v>
      </c>
    </row>
    <row r="32" spans="1:14" x14ac:dyDescent="0.25">
      <c r="A32" s="271">
        <v>10</v>
      </c>
      <c r="B32" s="272">
        <f>IF($L$3="m",'DATOS DE ENTRADA'!J48,'DATOS DE ENTRADA'!H48)</f>
        <v>83</v>
      </c>
      <c r="C32" s="273">
        <f t="shared" si="0"/>
        <v>83</v>
      </c>
      <c r="D32" s="273">
        <f t="shared" si="1"/>
        <v>83</v>
      </c>
      <c r="E32" s="273">
        <f t="shared" si="1"/>
        <v>83</v>
      </c>
      <c r="F32" s="107">
        <f t="shared" si="2"/>
        <v>4</v>
      </c>
      <c r="G32" s="107">
        <f t="shared" si="3"/>
        <v>2</v>
      </c>
      <c r="H32" s="107">
        <f t="shared" si="4"/>
        <v>2</v>
      </c>
      <c r="I32" s="274">
        <f t="shared" si="5"/>
        <v>1.0942799999999999</v>
      </c>
      <c r="J32" s="274">
        <f t="shared" si="6"/>
        <v>1.1575199999999999</v>
      </c>
      <c r="K32" s="274">
        <f t="shared" si="7"/>
        <v>1.30772</v>
      </c>
      <c r="L32" s="204">
        <f t="shared" si="8"/>
        <v>3.9831791999999999</v>
      </c>
      <c r="M32" s="204">
        <f t="shared" si="9"/>
        <v>4.2133728000000001</v>
      </c>
      <c r="N32" s="204">
        <f t="shared" si="10"/>
        <v>4.7601008</v>
      </c>
    </row>
    <row r="33" spans="1:21" x14ac:dyDescent="0.25">
      <c r="A33" s="271">
        <v>11</v>
      </c>
      <c r="B33" s="272">
        <f>IF($L$3="m",'DATOS DE ENTRADA'!J49,'DATOS DE ENTRADA'!H49)</f>
        <v>83</v>
      </c>
      <c r="C33" s="273">
        <f t="shared" si="0"/>
        <v>83</v>
      </c>
      <c r="D33" s="273">
        <f t="shared" si="1"/>
        <v>83</v>
      </c>
      <c r="E33" s="273">
        <f t="shared" si="1"/>
        <v>83</v>
      </c>
      <c r="F33" s="107">
        <f t="shared" si="2"/>
        <v>4</v>
      </c>
      <c r="G33" s="107">
        <f t="shared" si="3"/>
        <v>2</v>
      </c>
      <c r="H33" s="107">
        <f t="shared" si="4"/>
        <v>2</v>
      </c>
      <c r="I33" s="274">
        <f t="shared" si="5"/>
        <v>1.0942799999999999</v>
      </c>
      <c r="J33" s="274">
        <f t="shared" si="6"/>
        <v>1.1575199999999999</v>
      </c>
      <c r="K33" s="274">
        <f t="shared" si="7"/>
        <v>1.30772</v>
      </c>
      <c r="L33" s="204">
        <f t="shared" si="8"/>
        <v>3.9831791999999999</v>
      </c>
      <c r="M33" s="204">
        <f t="shared" si="9"/>
        <v>4.2133728000000001</v>
      </c>
      <c r="N33" s="204">
        <f t="shared" si="10"/>
        <v>4.7601008</v>
      </c>
    </row>
    <row r="34" spans="1:21" x14ac:dyDescent="0.25">
      <c r="A34" s="271">
        <v>12</v>
      </c>
      <c r="B34" s="272">
        <f>IF($L$3="m",'DATOS DE ENTRADA'!J50,'DATOS DE ENTRADA'!H50)</f>
        <v>83</v>
      </c>
      <c r="C34" s="273">
        <f t="shared" si="0"/>
        <v>83</v>
      </c>
      <c r="D34" s="273">
        <f t="shared" si="1"/>
        <v>83</v>
      </c>
      <c r="E34" s="273">
        <f t="shared" si="1"/>
        <v>83</v>
      </c>
      <c r="F34" s="107">
        <f t="shared" si="2"/>
        <v>4</v>
      </c>
      <c r="G34" s="107">
        <f t="shared" si="3"/>
        <v>2</v>
      </c>
      <c r="H34" s="107">
        <f t="shared" si="4"/>
        <v>2</v>
      </c>
      <c r="I34" s="274">
        <f t="shared" si="5"/>
        <v>1.0942799999999999</v>
      </c>
      <c r="J34" s="274">
        <f t="shared" si="6"/>
        <v>1.1575199999999999</v>
      </c>
      <c r="K34" s="274">
        <f t="shared" si="7"/>
        <v>1.30772</v>
      </c>
      <c r="L34" s="204">
        <f t="shared" si="8"/>
        <v>3.9831791999999999</v>
      </c>
      <c r="M34" s="204">
        <f t="shared" si="9"/>
        <v>4.2133728000000001</v>
      </c>
      <c r="N34" s="204">
        <f t="shared" si="10"/>
        <v>4.7601008</v>
      </c>
    </row>
    <row r="35" spans="1:21" x14ac:dyDescent="0.25">
      <c r="A35" s="271">
        <v>13</v>
      </c>
      <c r="B35" s="272">
        <f>IF($L$3="m",'DATOS DE ENTRADA'!J51,'DATOS DE ENTRADA'!H51)</f>
        <v>83</v>
      </c>
      <c r="C35" s="273">
        <f t="shared" si="0"/>
        <v>83</v>
      </c>
      <c r="D35" s="273">
        <f t="shared" si="1"/>
        <v>83</v>
      </c>
      <c r="E35" s="273">
        <f t="shared" si="1"/>
        <v>83</v>
      </c>
      <c r="F35" s="107">
        <f t="shared" si="2"/>
        <v>4</v>
      </c>
      <c r="G35" s="107">
        <f t="shared" si="3"/>
        <v>2</v>
      </c>
      <c r="H35" s="107">
        <f t="shared" si="4"/>
        <v>2</v>
      </c>
      <c r="I35" s="274">
        <f t="shared" si="5"/>
        <v>1.0942799999999999</v>
      </c>
      <c r="J35" s="274">
        <f t="shared" si="6"/>
        <v>1.1575199999999999</v>
      </c>
      <c r="K35" s="274">
        <f t="shared" si="7"/>
        <v>1.30772</v>
      </c>
      <c r="L35" s="204">
        <f t="shared" si="8"/>
        <v>3.9831791999999999</v>
      </c>
      <c r="M35" s="204">
        <f t="shared" si="9"/>
        <v>4.2133728000000001</v>
      </c>
      <c r="N35" s="204">
        <f t="shared" si="10"/>
        <v>4.7601008</v>
      </c>
    </row>
    <row r="36" spans="1:21" x14ac:dyDescent="0.25">
      <c r="A36" s="271">
        <v>14</v>
      </c>
      <c r="B36" s="272">
        <f>IF($L$3="m",'DATOS DE ENTRADA'!J52,'DATOS DE ENTRADA'!H52)</f>
        <v>80</v>
      </c>
      <c r="C36" s="273">
        <f t="shared" si="0"/>
        <v>80</v>
      </c>
      <c r="D36" s="273">
        <f t="shared" si="1"/>
        <v>80</v>
      </c>
      <c r="E36" s="273">
        <f t="shared" si="1"/>
        <v>80</v>
      </c>
      <c r="F36" s="107">
        <f t="shared" si="2"/>
        <v>6</v>
      </c>
      <c r="G36" s="107">
        <f t="shared" si="3"/>
        <v>2</v>
      </c>
      <c r="H36" s="107">
        <f t="shared" si="4"/>
        <v>2</v>
      </c>
      <c r="I36" s="274">
        <f t="shared" si="5"/>
        <v>1.1733199999999999</v>
      </c>
      <c r="J36" s="274">
        <f t="shared" si="6"/>
        <v>1.1575199999999999</v>
      </c>
      <c r="K36" s="274">
        <f t="shared" si="7"/>
        <v>1.30772</v>
      </c>
      <c r="L36" s="204">
        <f t="shared" si="8"/>
        <v>4.2708848000000001</v>
      </c>
      <c r="M36" s="204">
        <f t="shared" si="9"/>
        <v>4.2133728000000001</v>
      </c>
      <c r="N36" s="204">
        <f t="shared" si="10"/>
        <v>4.7601008</v>
      </c>
    </row>
    <row r="37" spans="1:21" x14ac:dyDescent="0.25">
      <c r="A37" s="271">
        <v>15</v>
      </c>
      <c r="B37" s="272">
        <f>IF($L$3="m",'DATOS DE ENTRADA'!J53,'DATOS DE ENTRADA'!H53)</f>
        <v>80</v>
      </c>
      <c r="C37" s="273">
        <f t="shared" si="0"/>
        <v>80</v>
      </c>
      <c r="D37" s="273">
        <f t="shared" si="1"/>
        <v>80</v>
      </c>
      <c r="E37" s="273">
        <f t="shared" si="1"/>
        <v>80</v>
      </c>
      <c r="F37" s="107">
        <f t="shared" si="2"/>
        <v>6</v>
      </c>
      <c r="G37" s="107">
        <f t="shared" si="3"/>
        <v>2</v>
      </c>
      <c r="H37" s="107">
        <f t="shared" si="4"/>
        <v>2</v>
      </c>
      <c r="I37" s="274">
        <f t="shared" si="5"/>
        <v>1.1733199999999999</v>
      </c>
      <c r="J37" s="274">
        <f t="shared" si="6"/>
        <v>1.1575199999999999</v>
      </c>
      <c r="K37" s="274">
        <f t="shared" si="7"/>
        <v>1.30772</v>
      </c>
      <c r="L37" s="204">
        <f t="shared" si="8"/>
        <v>4.2708848000000001</v>
      </c>
      <c r="M37" s="204">
        <f t="shared" si="9"/>
        <v>4.2133728000000001</v>
      </c>
      <c r="N37" s="204">
        <f t="shared" si="10"/>
        <v>4.7601008</v>
      </c>
      <c r="R37" s="47"/>
      <c r="S37" s="47"/>
      <c r="T37" s="47"/>
      <c r="U37" s="47"/>
    </row>
    <row r="38" spans="1:21" x14ac:dyDescent="0.25">
      <c r="A38" s="271">
        <v>16</v>
      </c>
      <c r="B38" s="272">
        <f>IF($L$3="m",'DATOS DE ENTRADA'!J54,'DATOS DE ENTRADA'!H54)</f>
        <v>80</v>
      </c>
      <c r="C38" s="273">
        <f t="shared" si="0"/>
        <v>80</v>
      </c>
      <c r="D38" s="273">
        <f t="shared" si="1"/>
        <v>80</v>
      </c>
      <c r="E38" s="273">
        <f t="shared" si="1"/>
        <v>80</v>
      </c>
      <c r="F38" s="107">
        <f t="shared" si="2"/>
        <v>6</v>
      </c>
      <c r="G38" s="107">
        <f t="shared" si="3"/>
        <v>2</v>
      </c>
      <c r="H38" s="107">
        <f t="shared" si="4"/>
        <v>2</v>
      </c>
      <c r="I38" s="274">
        <f t="shared" si="5"/>
        <v>1.1733199999999999</v>
      </c>
      <c r="J38" s="274">
        <f t="shared" si="6"/>
        <v>1.1575199999999999</v>
      </c>
      <c r="K38" s="274">
        <f t="shared" si="7"/>
        <v>1.30772</v>
      </c>
      <c r="L38" s="204">
        <f t="shared" si="8"/>
        <v>4.2708848000000001</v>
      </c>
      <c r="M38" s="204">
        <f t="shared" si="9"/>
        <v>4.2133728000000001</v>
      </c>
      <c r="N38" s="204">
        <f t="shared" si="10"/>
        <v>4.7601008</v>
      </c>
      <c r="R38" s="47"/>
      <c r="S38" s="47"/>
      <c r="T38" s="47"/>
      <c r="U38" s="47"/>
    </row>
    <row r="39" spans="1:21" x14ac:dyDescent="0.25">
      <c r="A39" s="271">
        <v>17</v>
      </c>
      <c r="B39" s="272">
        <f>IF($L$3="m",'DATOS DE ENTRADA'!J55,'DATOS DE ENTRADA'!H55)</f>
        <v>80</v>
      </c>
      <c r="C39" s="273">
        <f t="shared" si="0"/>
        <v>80</v>
      </c>
      <c r="D39" s="273">
        <f t="shared" si="1"/>
        <v>80</v>
      </c>
      <c r="E39" s="273">
        <f t="shared" si="1"/>
        <v>80</v>
      </c>
      <c r="F39" s="107">
        <f t="shared" si="2"/>
        <v>6</v>
      </c>
      <c r="G39" s="107">
        <f t="shared" si="3"/>
        <v>2</v>
      </c>
      <c r="H39" s="107">
        <f t="shared" si="4"/>
        <v>2</v>
      </c>
      <c r="I39" s="274">
        <f t="shared" si="5"/>
        <v>1.1733199999999999</v>
      </c>
      <c r="J39" s="274">
        <f t="shared" si="6"/>
        <v>1.1575199999999999</v>
      </c>
      <c r="K39" s="274">
        <f t="shared" si="7"/>
        <v>1.30772</v>
      </c>
      <c r="L39" s="204">
        <f t="shared" si="8"/>
        <v>4.2708848000000001</v>
      </c>
      <c r="M39" s="204">
        <f t="shared" si="9"/>
        <v>4.2133728000000001</v>
      </c>
      <c r="N39" s="204">
        <f t="shared" si="10"/>
        <v>4.7601008</v>
      </c>
      <c r="O39" s="47"/>
      <c r="P39" s="47"/>
      <c r="Q39" s="47"/>
      <c r="R39" s="47"/>
      <c r="S39" s="291"/>
      <c r="T39" s="291"/>
      <c r="U39" s="291"/>
    </row>
    <row r="40" spans="1:21" x14ac:dyDescent="0.25">
      <c r="A40" s="271">
        <v>18</v>
      </c>
      <c r="B40" s="272">
        <f>IF($L$3="m",'DATOS DE ENTRADA'!J56,'DATOS DE ENTRADA'!H56)</f>
        <v>80</v>
      </c>
      <c r="C40" s="273">
        <f t="shared" si="0"/>
        <v>80</v>
      </c>
      <c r="D40" s="273">
        <f t="shared" si="1"/>
        <v>80</v>
      </c>
      <c r="E40" s="273">
        <f t="shared" si="1"/>
        <v>80</v>
      </c>
      <c r="F40" s="107">
        <f t="shared" si="2"/>
        <v>6</v>
      </c>
      <c r="G40" s="107">
        <f t="shared" si="3"/>
        <v>2</v>
      </c>
      <c r="H40" s="107">
        <f t="shared" si="4"/>
        <v>2</v>
      </c>
      <c r="I40" s="274">
        <f t="shared" si="5"/>
        <v>1.1733199999999999</v>
      </c>
      <c r="J40" s="274">
        <f t="shared" si="6"/>
        <v>1.1575199999999999</v>
      </c>
      <c r="K40" s="274">
        <f t="shared" si="7"/>
        <v>1.30772</v>
      </c>
      <c r="L40" s="204">
        <f t="shared" si="8"/>
        <v>4.2708848000000001</v>
      </c>
      <c r="M40" s="204">
        <f t="shared" si="9"/>
        <v>4.2133728000000001</v>
      </c>
      <c r="N40" s="204">
        <f t="shared" si="10"/>
        <v>4.7601008</v>
      </c>
      <c r="O40" s="290"/>
      <c r="P40" s="290"/>
      <c r="Q40" s="290"/>
      <c r="R40" s="47"/>
      <c r="S40" s="47"/>
      <c r="T40" s="47"/>
      <c r="U40" s="47"/>
    </row>
    <row r="41" spans="1:21" x14ac:dyDescent="0.25">
      <c r="A41" s="271">
        <v>19</v>
      </c>
      <c r="B41" s="272">
        <f>IF($L$3="m",'DATOS DE ENTRADA'!J57,'DATOS DE ENTRADA'!H57)</f>
        <v>80</v>
      </c>
      <c r="C41" s="273">
        <f t="shared" si="0"/>
        <v>80</v>
      </c>
      <c r="D41" s="273">
        <f t="shared" si="1"/>
        <v>80</v>
      </c>
      <c r="E41" s="273">
        <f t="shared" si="1"/>
        <v>80</v>
      </c>
      <c r="F41" s="107">
        <f t="shared" si="2"/>
        <v>6</v>
      </c>
      <c r="G41" s="107">
        <f t="shared" si="3"/>
        <v>2</v>
      </c>
      <c r="H41" s="107">
        <f t="shared" si="4"/>
        <v>2</v>
      </c>
      <c r="I41" s="274">
        <f t="shared" si="5"/>
        <v>1.1733199999999999</v>
      </c>
      <c r="J41" s="274">
        <f t="shared" si="6"/>
        <v>1.1575199999999999</v>
      </c>
      <c r="K41" s="274">
        <f t="shared" si="7"/>
        <v>1.30772</v>
      </c>
      <c r="L41" s="204">
        <f t="shared" si="8"/>
        <v>4.2708848000000001</v>
      </c>
      <c r="M41" s="204">
        <f t="shared" si="9"/>
        <v>4.2133728000000001</v>
      </c>
      <c r="N41" s="204">
        <f t="shared" si="10"/>
        <v>4.7601008</v>
      </c>
      <c r="O41" s="47"/>
      <c r="P41" s="47"/>
      <c r="Q41" s="47"/>
      <c r="R41" s="47"/>
      <c r="S41" s="291"/>
      <c r="T41" s="291"/>
      <c r="U41" s="291"/>
    </row>
    <row r="42" spans="1:21" x14ac:dyDescent="0.25">
      <c r="A42" s="271">
        <v>20</v>
      </c>
      <c r="B42" s="272">
        <f>IF($L$3="m",'DATOS DE ENTRADA'!J58,'DATOS DE ENTRADA'!H58)</f>
        <v>80</v>
      </c>
      <c r="C42" s="273">
        <f t="shared" si="0"/>
        <v>80</v>
      </c>
      <c r="D42" s="273">
        <f t="shared" si="1"/>
        <v>80</v>
      </c>
      <c r="E42" s="273">
        <f t="shared" si="1"/>
        <v>80</v>
      </c>
      <c r="F42" s="107">
        <f t="shared" si="2"/>
        <v>6</v>
      </c>
      <c r="G42" s="107">
        <f t="shared" si="3"/>
        <v>2</v>
      </c>
      <c r="H42" s="107">
        <f t="shared" si="4"/>
        <v>2</v>
      </c>
      <c r="I42" s="274">
        <f t="shared" si="5"/>
        <v>1.1733199999999999</v>
      </c>
      <c r="J42" s="274">
        <f t="shared" si="6"/>
        <v>1.1575199999999999</v>
      </c>
      <c r="K42" s="274">
        <f t="shared" si="7"/>
        <v>1.30772</v>
      </c>
      <c r="L42" s="204">
        <f t="shared" si="8"/>
        <v>4.2708848000000001</v>
      </c>
      <c r="M42" s="204">
        <f t="shared" si="9"/>
        <v>4.2133728000000001</v>
      </c>
      <c r="N42" s="204">
        <f t="shared" si="10"/>
        <v>4.7601008</v>
      </c>
      <c r="O42" s="290"/>
      <c r="P42" s="290"/>
      <c r="Q42" s="290"/>
      <c r="R42" s="47"/>
      <c r="S42" s="291"/>
      <c r="T42" s="291"/>
      <c r="U42" s="291"/>
    </row>
    <row r="43" spans="1:21" x14ac:dyDescent="0.25">
      <c r="A43" s="271">
        <v>21</v>
      </c>
      <c r="B43" s="272">
        <f>IF($L$3="m",'DATOS DE ENTRADA'!J59,'DATOS DE ENTRADA'!H59)</f>
        <v>80</v>
      </c>
      <c r="C43" s="273">
        <f t="shared" si="0"/>
        <v>80</v>
      </c>
      <c r="D43" s="273">
        <f t="shared" si="1"/>
        <v>80</v>
      </c>
      <c r="E43" s="273">
        <f t="shared" si="1"/>
        <v>80</v>
      </c>
      <c r="F43" s="107">
        <f t="shared" si="2"/>
        <v>6</v>
      </c>
      <c r="G43" s="107">
        <f t="shared" si="3"/>
        <v>2</v>
      </c>
      <c r="H43" s="107">
        <f t="shared" si="4"/>
        <v>2</v>
      </c>
      <c r="I43" s="274">
        <f t="shared" si="5"/>
        <v>1.1733199999999999</v>
      </c>
      <c r="J43" s="274">
        <f t="shared" si="6"/>
        <v>1.1575199999999999</v>
      </c>
      <c r="K43" s="274">
        <f t="shared" si="7"/>
        <v>1.30772</v>
      </c>
      <c r="L43" s="204">
        <f t="shared" si="8"/>
        <v>4.2708848000000001</v>
      </c>
      <c r="M43" s="204">
        <f t="shared" si="9"/>
        <v>4.2133728000000001</v>
      </c>
      <c r="N43" s="204">
        <f t="shared" si="10"/>
        <v>4.7601008</v>
      </c>
      <c r="O43" s="47"/>
      <c r="P43" s="47"/>
      <c r="Q43" s="47"/>
      <c r="R43" s="47"/>
      <c r="S43" s="291"/>
      <c r="T43" s="291"/>
      <c r="U43" s="291"/>
    </row>
    <row r="44" spans="1:21" x14ac:dyDescent="0.25">
      <c r="A44" s="271">
        <v>22</v>
      </c>
      <c r="B44" s="272">
        <f>IF($L$3="m",'DATOS DE ENTRADA'!J60,'DATOS DE ENTRADA'!H60)</f>
        <v>80</v>
      </c>
      <c r="C44" s="273">
        <f t="shared" si="0"/>
        <v>80</v>
      </c>
      <c r="D44" s="273">
        <f t="shared" si="1"/>
        <v>80</v>
      </c>
      <c r="E44" s="273">
        <f t="shared" si="1"/>
        <v>80</v>
      </c>
      <c r="F44" s="107">
        <f t="shared" si="2"/>
        <v>6</v>
      </c>
      <c r="G44" s="107">
        <f t="shared" si="3"/>
        <v>2</v>
      </c>
      <c r="H44" s="107">
        <f t="shared" si="4"/>
        <v>2</v>
      </c>
      <c r="I44" s="274">
        <f t="shared" si="5"/>
        <v>1.1733199999999999</v>
      </c>
      <c r="J44" s="274">
        <f t="shared" si="6"/>
        <v>1.1575199999999999</v>
      </c>
      <c r="K44" s="274">
        <f t="shared" si="7"/>
        <v>1.30772</v>
      </c>
      <c r="L44" s="204">
        <f t="shared" si="8"/>
        <v>4.2708848000000001</v>
      </c>
      <c r="M44" s="204">
        <f t="shared" si="9"/>
        <v>4.2133728000000001</v>
      </c>
      <c r="N44" s="204">
        <f t="shared" si="10"/>
        <v>4.7601008</v>
      </c>
      <c r="O44" s="290"/>
      <c r="P44" s="290"/>
      <c r="Q44" s="290"/>
      <c r="R44" s="47"/>
      <c r="S44" s="291"/>
      <c r="T44" s="291"/>
      <c r="U44" s="291"/>
    </row>
    <row r="45" spans="1:21" x14ac:dyDescent="0.25">
      <c r="A45" s="271">
        <v>23</v>
      </c>
      <c r="B45" s="272">
        <f>IF($L$3="m",'DATOS DE ENTRADA'!J61,'DATOS DE ENTRADA'!H61)</f>
        <v>80</v>
      </c>
      <c r="C45" s="273">
        <f t="shared" si="0"/>
        <v>80</v>
      </c>
      <c r="D45" s="273">
        <f t="shared" si="1"/>
        <v>80</v>
      </c>
      <c r="E45" s="273">
        <f t="shared" si="1"/>
        <v>80</v>
      </c>
      <c r="F45" s="107">
        <f t="shared" si="2"/>
        <v>6</v>
      </c>
      <c r="G45" s="107">
        <f t="shared" si="3"/>
        <v>2</v>
      </c>
      <c r="H45" s="107">
        <f t="shared" si="4"/>
        <v>2</v>
      </c>
      <c r="I45" s="274">
        <f t="shared" si="5"/>
        <v>1.1733199999999999</v>
      </c>
      <c r="J45" s="274">
        <f t="shared" si="6"/>
        <v>1.1575199999999999</v>
      </c>
      <c r="K45" s="274">
        <f t="shared" si="7"/>
        <v>1.30772</v>
      </c>
      <c r="L45" s="204">
        <f t="shared" si="8"/>
        <v>4.2708848000000001</v>
      </c>
      <c r="M45" s="204">
        <f t="shared" si="9"/>
        <v>4.2133728000000001</v>
      </c>
      <c r="N45" s="204">
        <f t="shared" si="10"/>
        <v>4.7601008</v>
      </c>
      <c r="O45" s="47"/>
      <c r="P45" s="47"/>
      <c r="Q45" s="47"/>
      <c r="R45" s="47"/>
      <c r="S45" s="291"/>
      <c r="T45" s="291"/>
      <c r="U45" s="291"/>
    </row>
    <row r="46" spans="1:21" x14ac:dyDescent="0.25">
      <c r="A46" s="271">
        <v>24</v>
      </c>
      <c r="B46" s="272">
        <f>IF($L$3="m",'DATOS DE ENTRADA'!J62,'DATOS DE ENTRADA'!H62)</f>
        <v>80</v>
      </c>
      <c r="C46" s="273">
        <f t="shared" si="0"/>
        <v>80</v>
      </c>
      <c r="D46" s="273">
        <f t="shared" si="1"/>
        <v>80</v>
      </c>
      <c r="E46" s="273">
        <f t="shared" si="1"/>
        <v>80</v>
      </c>
      <c r="F46" s="107">
        <f t="shared" si="2"/>
        <v>6</v>
      </c>
      <c r="G46" s="107">
        <f t="shared" si="3"/>
        <v>2</v>
      </c>
      <c r="H46" s="107">
        <f t="shared" si="4"/>
        <v>2</v>
      </c>
      <c r="I46" s="274">
        <f t="shared" si="5"/>
        <v>1.1733199999999999</v>
      </c>
      <c r="J46" s="274">
        <f t="shared" si="6"/>
        <v>1.1575199999999999</v>
      </c>
      <c r="K46" s="274">
        <f t="shared" si="7"/>
        <v>1.30772</v>
      </c>
      <c r="L46" s="204">
        <f t="shared" si="8"/>
        <v>4.2708848000000001</v>
      </c>
      <c r="M46" s="204">
        <f t="shared" si="9"/>
        <v>4.2133728000000001</v>
      </c>
      <c r="N46" s="204">
        <f t="shared" si="10"/>
        <v>4.7601008</v>
      </c>
      <c r="O46" s="290"/>
      <c r="P46" s="290"/>
      <c r="Q46" s="290"/>
      <c r="R46" s="47"/>
      <c r="S46" s="291"/>
      <c r="T46" s="291"/>
      <c r="U46" s="291"/>
    </row>
    <row r="47" spans="1:21" x14ac:dyDescent="0.25">
      <c r="A47" s="271">
        <v>25</v>
      </c>
      <c r="B47" s="272">
        <f>IF($L$3="m",'DATOS DE ENTRADA'!J63,'DATOS DE ENTRADA'!H63)</f>
        <v>80</v>
      </c>
      <c r="C47" s="273">
        <f t="shared" si="0"/>
        <v>80</v>
      </c>
      <c r="D47" s="273">
        <f t="shared" si="1"/>
        <v>80</v>
      </c>
      <c r="E47" s="273">
        <f t="shared" si="1"/>
        <v>80</v>
      </c>
      <c r="F47" s="107">
        <f t="shared" si="2"/>
        <v>6</v>
      </c>
      <c r="G47" s="107">
        <f t="shared" si="3"/>
        <v>2</v>
      </c>
      <c r="H47" s="107">
        <f t="shared" si="4"/>
        <v>2</v>
      </c>
      <c r="I47" s="274">
        <f t="shared" si="5"/>
        <v>1.1733199999999999</v>
      </c>
      <c r="J47" s="274">
        <f t="shared" si="6"/>
        <v>1.1575199999999999</v>
      </c>
      <c r="K47" s="274">
        <f t="shared" si="7"/>
        <v>1.30772</v>
      </c>
      <c r="L47" s="204">
        <f t="shared" si="8"/>
        <v>4.2708848000000001</v>
      </c>
      <c r="M47" s="204">
        <f t="shared" si="9"/>
        <v>4.2133728000000001</v>
      </c>
      <c r="N47" s="204">
        <f t="shared" si="10"/>
        <v>4.7601008</v>
      </c>
      <c r="O47" s="47"/>
      <c r="P47" s="47"/>
      <c r="Q47" s="47"/>
      <c r="R47" s="47"/>
      <c r="S47" s="291"/>
      <c r="T47" s="291"/>
      <c r="U47" s="291"/>
    </row>
    <row r="48" spans="1:21" x14ac:dyDescent="0.25">
      <c r="A48" s="271">
        <v>26</v>
      </c>
      <c r="B48" s="272">
        <f>IF($L$3="m",'DATOS DE ENTRADA'!J64,'DATOS DE ENTRADA'!H64)</f>
        <v>80</v>
      </c>
      <c r="C48" s="273">
        <f t="shared" si="0"/>
        <v>80</v>
      </c>
      <c r="D48" s="273">
        <f t="shared" si="1"/>
        <v>80</v>
      </c>
      <c r="E48" s="273">
        <f t="shared" si="1"/>
        <v>80</v>
      </c>
      <c r="F48" s="107">
        <f t="shared" si="2"/>
        <v>6</v>
      </c>
      <c r="G48" s="107">
        <f t="shared" si="3"/>
        <v>2</v>
      </c>
      <c r="H48" s="107">
        <f t="shared" si="4"/>
        <v>2</v>
      </c>
      <c r="I48" s="274">
        <f t="shared" si="5"/>
        <v>1.1733199999999999</v>
      </c>
      <c r="J48" s="274">
        <f t="shared" si="6"/>
        <v>1.1575199999999999</v>
      </c>
      <c r="K48" s="274">
        <f t="shared" si="7"/>
        <v>1.30772</v>
      </c>
      <c r="L48" s="204">
        <f t="shared" si="8"/>
        <v>4.2708848000000001</v>
      </c>
      <c r="M48" s="204">
        <f t="shared" si="9"/>
        <v>4.2133728000000001</v>
      </c>
      <c r="N48" s="204">
        <f t="shared" si="10"/>
        <v>4.7601008</v>
      </c>
      <c r="R48" s="47"/>
      <c r="S48" s="291"/>
      <c r="T48" s="291"/>
      <c r="U48" s="291"/>
    </row>
    <row r="49" spans="1:21" x14ac:dyDescent="0.25">
      <c r="A49" s="271">
        <v>27</v>
      </c>
      <c r="B49" s="272">
        <f>IF($L$3="m",'DATOS DE ENTRADA'!J65,'DATOS DE ENTRADA'!H65)</f>
        <v>80</v>
      </c>
      <c r="C49" s="273">
        <f t="shared" si="0"/>
        <v>80</v>
      </c>
      <c r="D49" s="273">
        <f t="shared" si="1"/>
        <v>80</v>
      </c>
      <c r="E49" s="273">
        <f t="shared" si="1"/>
        <v>80</v>
      </c>
      <c r="F49" s="107">
        <f t="shared" si="2"/>
        <v>6</v>
      </c>
      <c r="G49" s="107">
        <f t="shared" si="3"/>
        <v>2</v>
      </c>
      <c r="H49" s="107">
        <f t="shared" si="4"/>
        <v>2</v>
      </c>
      <c r="I49" s="274">
        <f t="shared" si="5"/>
        <v>1.1733199999999999</v>
      </c>
      <c r="J49" s="274">
        <f t="shared" si="6"/>
        <v>1.1575199999999999</v>
      </c>
      <c r="K49" s="274">
        <f t="shared" si="7"/>
        <v>1.30772</v>
      </c>
      <c r="L49" s="204">
        <f t="shared" si="8"/>
        <v>4.2708848000000001</v>
      </c>
      <c r="M49" s="204">
        <f t="shared" si="9"/>
        <v>4.2133728000000001</v>
      </c>
      <c r="N49" s="204">
        <f t="shared" si="10"/>
        <v>4.7601008</v>
      </c>
      <c r="R49" s="60"/>
    </row>
    <row r="50" spans="1:21" x14ac:dyDescent="0.25">
      <c r="A50" s="271">
        <v>28</v>
      </c>
      <c r="B50" s="272">
        <f>IF($L$3="m",'DATOS DE ENTRADA'!J66,'DATOS DE ENTRADA'!H66)</f>
        <v>80</v>
      </c>
      <c r="C50" s="273">
        <f t="shared" si="0"/>
        <v>80</v>
      </c>
      <c r="D50" s="273">
        <f t="shared" si="1"/>
        <v>80</v>
      </c>
      <c r="E50" s="273">
        <f t="shared" si="1"/>
        <v>80</v>
      </c>
      <c r="F50" s="107">
        <f t="shared" si="2"/>
        <v>6</v>
      </c>
      <c r="G50" s="107">
        <f t="shared" si="3"/>
        <v>2</v>
      </c>
      <c r="H50" s="107">
        <f t="shared" si="4"/>
        <v>2</v>
      </c>
      <c r="I50" s="274">
        <f>0.00002*(F50)^3+0.003*(F50)^2+0.008*(F50)+1.013</f>
        <v>1.1733199999999999</v>
      </c>
      <c r="J50" s="274">
        <f t="shared" si="6"/>
        <v>1.1575199999999999</v>
      </c>
      <c r="K50" s="274">
        <f t="shared" si="7"/>
        <v>1.30772</v>
      </c>
      <c r="L50" s="204">
        <f t="shared" si="8"/>
        <v>4.2708848000000001</v>
      </c>
      <c r="M50" s="204">
        <f t="shared" si="9"/>
        <v>4.2133728000000001</v>
      </c>
      <c r="N50" s="204">
        <f t="shared" si="10"/>
        <v>4.7601008</v>
      </c>
      <c r="O50" s="288"/>
      <c r="P50" s="288"/>
      <c r="Q50" s="288"/>
      <c r="R50" s="108"/>
      <c r="S50" s="287"/>
      <c r="T50" s="287"/>
      <c r="U50" s="287"/>
    </row>
    <row r="51" spans="1:21" x14ac:dyDescent="0.25">
      <c r="A51" s="271">
        <v>29</v>
      </c>
      <c r="B51" s="272">
        <f>IF($L$3="m",'DATOS DE ENTRADA'!J67,'DATOS DE ENTRADA'!H67)</f>
        <v>80</v>
      </c>
      <c r="C51" s="273">
        <f t="shared" si="0"/>
        <v>80</v>
      </c>
      <c r="D51" s="273">
        <f t="shared" si="1"/>
        <v>80</v>
      </c>
      <c r="E51" s="273">
        <f t="shared" si="1"/>
        <v>80</v>
      </c>
      <c r="F51" s="107">
        <f t="shared" si="2"/>
        <v>6</v>
      </c>
      <c r="G51" s="107">
        <f t="shared" si="3"/>
        <v>2</v>
      </c>
      <c r="H51" s="107">
        <f t="shared" si="4"/>
        <v>2</v>
      </c>
      <c r="I51" s="274">
        <f t="shared" si="5"/>
        <v>1.1733199999999999</v>
      </c>
      <c r="J51" s="274">
        <f t="shared" si="6"/>
        <v>1.1575199999999999</v>
      </c>
      <c r="K51" s="274">
        <f t="shared" si="7"/>
        <v>1.30772</v>
      </c>
      <c r="L51" s="204">
        <f t="shared" si="8"/>
        <v>4.2708848000000001</v>
      </c>
      <c r="M51" s="204">
        <f t="shared" si="9"/>
        <v>4.2133728000000001</v>
      </c>
      <c r="N51" s="204">
        <f t="shared" si="10"/>
        <v>4.7601008</v>
      </c>
    </row>
    <row r="52" spans="1:21" x14ac:dyDescent="0.25">
      <c r="A52" s="271">
        <v>30</v>
      </c>
      <c r="B52" s="272">
        <f>IF($L$3="m",'DATOS DE ENTRADA'!J68,'DATOS DE ENTRADA'!H68)</f>
        <v>80</v>
      </c>
      <c r="C52" s="273">
        <f t="shared" si="0"/>
        <v>80</v>
      </c>
      <c r="D52" s="273">
        <f t="shared" si="1"/>
        <v>80</v>
      </c>
      <c r="E52" s="273">
        <f t="shared" si="1"/>
        <v>80</v>
      </c>
      <c r="F52" s="107">
        <f t="shared" si="2"/>
        <v>6</v>
      </c>
      <c r="G52" s="107">
        <f t="shared" si="3"/>
        <v>2</v>
      </c>
      <c r="H52" s="107">
        <f t="shared" si="4"/>
        <v>2</v>
      </c>
      <c r="I52" s="274">
        <f t="shared" si="5"/>
        <v>1.1733199999999999</v>
      </c>
      <c r="J52" s="274">
        <f t="shared" si="6"/>
        <v>1.1575199999999999</v>
      </c>
      <c r="K52" s="274">
        <f t="shared" si="7"/>
        <v>1.30772</v>
      </c>
      <c r="L52" s="204">
        <f t="shared" si="8"/>
        <v>4.2708848000000001</v>
      </c>
      <c r="M52" s="204">
        <f t="shared" si="9"/>
        <v>4.2133728000000001</v>
      </c>
      <c r="N52" s="204">
        <f t="shared" si="10"/>
        <v>4.7601008</v>
      </c>
    </row>
    <row r="53" spans="1:21" x14ac:dyDescent="0.25">
      <c r="A53" s="271">
        <v>31</v>
      </c>
      <c r="B53" s="272">
        <f>IF($L$3="m",'DATOS DE ENTRADA'!J69,'DATOS DE ENTRADA'!H69)</f>
        <v>80</v>
      </c>
      <c r="C53" s="273">
        <f t="shared" si="0"/>
        <v>80</v>
      </c>
      <c r="D53" s="273">
        <f>C53</f>
        <v>80</v>
      </c>
      <c r="E53" s="273">
        <f>D53</f>
        <v>80</v>
      </c>
      <c r="F53" s="107">
        <f t="shared" si="2"/>
        <v>6</v>
      </c>
      <c r="G53" s="107">
        <f t="shared" si="3"/>
        <v>2</v>
      </c>
      <c r="H53" s="107">
        <f t="shared" si="4"/>
        <v>2</v>
      </c>
      <c r="I53" s="274">
        <f>0.00002*(F53)^3+0.003*(F53)^2+0.008*(F53)+1.013</f>
        <v>1.1733199999999999</v>
      </c>
      <c r="J53" s="274">
        <f>-0.00006*(G53)^3+0.004*(G53)^2-0.002*(G53)+1.146</f>
        <v>1.1575199999999999</v>
      </c>
      <c r="K53" s="274">
        <f>0.00009*(H53)^3+0.001*(H53)^2+0.02*(H53)+1.263</f>
        <v>1.30772</v>
      </c>
      <c r="L53" s="204">
        <f t="shared" ref="L53:N54" si="11">$B$19*I53</f>
        <v>4.2708848000000001</v>
      </c>
      <c r="M53" s="204">
        <f t="shared" si="11"/>
        <v>4.2133728000000001</v>
      </c>
      <c r="N53" s="204">
        <f t="shared" si="11"/>
        <v>4.7601008</v>
      </c>
    </row>
    <row r="54" spans="1:21" x14ac:dyDescent="0.25">
      <c r="A54" s="271">
        <v>32</v>
      </c>
      <c r="B54" s="272">
        <f>IF($L$3="m",'DATOS DE ENTRADA'!J70,'DATOS DE ENTRADA'!H70)</f>
        <v>80</v>
      </c>
      <c r="C54" s="273">
        <f t="shared" si="0"/>
        <v>80</v>
      </c>
      <c r="D54" s="273">
        <f>C54</f>
        <v>80</v>
      </c>
      <c r="E54" s="273">
        <f>D54</f>
        <v>80</v>
      </c>
      <c r="F54" s="107">
        <f t="shared" si="2"/>
        <v>6</v>
      </c>
      <c r="G54" s="107">
        <f t="shared" si="3"/>
        <v>2</v>
      </c>
      <c r="H54" s="107">
        <f t="shared" si="4"/>
        <v>2</v>
      </c>
      <c r="I54" s="274">
        <f>0.00002*(F54)^3+0.003*(F54)^2+0.008*(F54)+1.013</f>
        <v>1.1733199999999999</v>
      </c>
      <c r="J54" s="274">
        <f>-0.00006*(G54)^3+0.004*(G54)^2-0.002*(G54)+1.146</f>
        <v>1.1575199999999999</v>
      </c>
      <c r="K54" s="274">
        <f>0.00009*(H54)^3+0.001*(H54)^2+0.02*(H54)+1.263</f>
        <v>1.30772</v>
      </c>
      <c r="L54" s="204">
        <f t="shared" si="11"/>
        <v>4.2708848000000001</v>
      </c>
      <c r="M54" s="204">
        <f t="shared" si="11"/>
        <v>4.2133728000000001</v>
      </c>
      <c r="N54" s="204">
        <f t="shared" si="11"/>
        <v>4.7601008</v>
      </c>
    </row>
    <row r="56" spans="1:21" x14ac:dyDescent="0.25">
      <c r="A56" s="239" t="s">
        <v>238</v>
      </c>
      <c r="B56" s="19"/>
      <c r="C56" s="19"/>
    </row>
    <row r="57" spans="1:21" x14ac:dyDescent="0.25">
      <c r="A57" s="43" t="s">
        <v>99</v>
      </c>
      <c r="B57" s="169" t="str">
        <f>'DATOS DE ENTRADA'!C24</f>
        <v>P</v>
      </c>
      <c r="C57" s="575" t="s">
        <v>229</v>
      </c>
      <c r="D57" s="575"/>
      <c r="E57" s="575"/>
      <c r="F57" s="575" t="s">
        <v>230</v>
      </c>
      <c r="G57" s="576"/>
      <c r="H57" s="576"/>
      <c r="I57" s="575" t="s">
        <v>231</v>
      </c>
      <c r="J57" s="575"/>
      <c r="K57" s="575"/>
      <c r="L57" s="575" t="s">
        <v>240</v>
      </c>
      <c r="M57" s="575"/>
      <c r="N57" s="575"/>
    </row>
    <row r="58" spans="1:21" x14ac:dyDescent="0.25">
      <c r="A58" s="271" t="s">
        <v>18</v>
      </c>
      <c r="B58" s="286" t="s">
        <v>20</v>
      </c>
      <c r="C58" s="279" t="s">
        <v>233</v>
      </c>
      <c r="D58" s="279" t="s">
        <v>234</v>
      </c>
      <c r="E58" s="279" t="s">
        <v>235</v>
      </c>
      <c r="F58" s="279" t="s">
        <v>233</v>
      </c>
      <c r="G58" s="279" t="s">
        <v>234</v>
      </c>
      <c r="H58" s="279" t="s">
        <v>235</v>
      </c>
      <c r="I58" s="279" t="s">
        <v>233</v>
      </c>
      <c r="J58" s="279" t="s">
        <v>234</v>
      </c>
      <c r="K58" s="279" t="s">
        <v>235</v>
      </c>
      <c r="L58" s="270" t="s">
        <v>233</v>
      </c>
      <c r="M58" s="270" t="s">
        <v>234</v>
      </c>
      <c r="N58" s="270" t="s">
        <v>235</v>
      </c>
    </row>
    <row r="59" spans="1:21" x14ac:dyDescent="0.25">
      <c r="A59" s="286">
        <v>0</v>
      </c>
      <c r="B59" s="272">
        <f>IF($L$3="m",'DATOS DE ENTRADA'!J73,'DATOS DE ENTRADA'!H73)</f>
        <v>104.32770689349636</v>
      </c>
      <c r="C59" s="273">
        <f>B59</f>
        <v>104.32770689349636</v>
      </c>
      <c r="D59" s="273">
        <f t="shared" ref="D59:E74" si="12">C59</f>
        <v>104.32770689349636</v>
      </c>
      <c r="E59" s="273">
        <f>D59</f>
        <v>104.32770689349636</v>
      </c>
      <c r="F59" s="107">
        <f>IF(C59&gt;$B$5,$A$5,IF(C59&gt;$B$6,$A$6,IF(C59&gt;$B$7,$A$7,IF(C59&gt;$B$8,$A$8,IF(C59&gt;$B$9,$A$9,IF(C59&gt;$B$10,$A$10,IF(C59&gt;$B$11,$A$11,IF(C59&gt;$B$12,$A$12,IF(C59&gt;$B$13,$A$13,IF(C59&gt;$B$14,$A$14,IF(C59&gt;$B$15,$A$15,12)))))))))))</f>
        <v>2</v>
      </c>
      <c r="G59" s="107">
        <f>IF(D59&gt;$C$5,$A$5,IF(D59&gt;$C$6,$A$6,IF(D59&gt;$C$7,$A$7,IF(D59&gt;$C$8,$A$8,IF(D59&gt;$C$9,$A$9,IF(D59&gt;$C$10,$A$10,IF(D59&gt;$C$11,$A$11,IF(D59&gt;$C$12,$A$12,IF(D59&gt;$C$13,$A$13,IF(D59&gt;$C$14,$A$14,IF(D59&gt;$C$15,$A$15,12)))))))))))</f>
        <v>2</v>
      </c>
      <c r="H59" s="107">
        <f>IF(E59&gt;$D$5,$A$5,IF(E59&gt;$D$6,$A$6,IF(E59&gt;$D$7,$A$7,IF(E59&gt;$D$8,$A$8,IF(E59&gt;$D$9,$A$9,IF(E59&gt;$D$10,$A$10,IF(E59&gt;$D$11,$A$11,IF(E59&gt;$D$12,$A$12,IF(E59&gt;$D$13,$A$13,IF(E59&gt;$D$14,$A$14,IF(E59&gt;$D$15,$A$15,12)))))))))))</f>
        <v>2</v>
      </c>
      <c r="I59" s="274">
        <f>0.00002*(F59)^3+0.003*(F59)^2+0.008*(F59)+1.013</f>
        <v>1.0411599999999999</v>
      </c>
      <c r="J59" s="274">
        <f t="shared" ref="J59:J89" si="13">-0.00006*(G59)^3+0.004*(G59)^2-0.002*(G59)+1.146</f>
        <v>1.1575199999999999</v>
      </c>
      <c r="K59" s="274">
        <f t="shared" ref="K59:K89" si="14">0.00009*(H59)^3+0.001*(H59)^2+0.02*(H59)+1.263</f>
        <v>1.30772</v>
      </c>
      <c r="L59" s="204">
        <f>$B$19*I59</f>
        <v>3.7898223999999998</v>
      </c>
      <c r="M59" s="204">
        <f t="shared" ref="M59:M89" si="15">$B$19*J59</f>
        <v>4.2133728000000001</v>
      </c>
      <c r="N59" s="204">
        <f>$B$19*K59</f>
        <v>4.7601008</v>
      </c>
    </row>
    <row r="60" spans="1:21" x14ac:dyDescent="0.25">
      <c r="A60" s="286">
        <v>1</v>
      </c>
      <c r="B60" s="272">
        <f>IF($L$3="m",'DATOS DE ENTRADA'!J74,'DATOS DE ENTRADA'!H74)</f>
        <v>104.00753810030125</v>
      </c>
      <c r="C60" s="273">
        <f t="shared" ref="C60:C91" si="16">B60</f>
        <v>104.00753810030125</v>
      </c>
      <c r="D60" s="273">
        <f t="shared" si="12"/>
        <v>104.00753810030125</v>
      </c>
      <c r="E60" s="273">
        <f t="shared" si="12"/>
        <v>104.00753810030125</v>
      </c>
      <c r="F60" s="107">
        <f t="shared" ref="F60:F91" si="17">IF(C60&gt;$B$5,$A$5,IF(C60&gt;$B$6,$A$6,IF(C60&gt;$B$7,$A$7,IF(C60&gt;$B$8,$A$8,IF(C60&gt;$B$9,$A$9,IF(C60&gt;$B$10,$A$10,IF(C60&gt;$B$11,$A$11,IF(C60&gt;$B$12,$A$12,IF(C60&gt;$B$13,$A$13,IF(C60&gt;$B$14,$A$14,IF(C60&gt;$B$15,$A$15,12)))))))))))</f>
        <v>2</v>
      </c>
      <c r="G60" s="107">
        <f t="shared" ref="G60:G91" si="18">IF(D60&gt;$C$5,$A$5,IF(D60&gt;$C$6,$A$6,IF(D60&gt;$C$7,$A$7,IF(D60&gt;$C$8,$A$8,IF(D60&gt;$C$9,$A$9,IF(D60&gt;$C$10,$A$10,IF(D60&gt;$C$11,$A$11,IF(D60&gt;$C$12,$A$12,IF(D60&gt;$C$13,$A$13,IF(D60&gt;$C$14,$A$14,IF(D60&gt;$C$15,$A$15,12)))))))))))</f>
        <v>2</v>
      </c>
      <c r="H60" s="107">
        <f t="shared" ref="H60:H91" si="19">IF(E60&gt;$D$5,$A$5,IF(E60&gt;$D$6,$A$6,IF(E60&gt;$D$7,$A$7,IF(E60&gt;$D$8,$A$8,IF(E60&gt;$D$9,$A$9,IF(E60&gt;$D$10,$A$10,IF(E60&gt;$D$11,$A$11,IF(E60&gt;$D$12,$A$12,IF(E60&gt;$D$13,$A$13,IF(E60&gt;$D$14,$A$14,IF(E60&gt;$D$15,$A$15,12)))))))))))</f>
        <v>2</v>
      </c>
      <c r="I60" s="274">
        <f t="shared" ref="I60:I89" si="20">0.00002*(F60)^3+0.003*(F60)^2+0.008*(F60)+1.013</f>
        <v>1.0411599999999999</v>
      </c>
      <c r="J60" s="274">
        <f t="shared" si="13"/>
        <v>1.1575199999999999</v>
      </c>
      <c r="K60" s="274">
        <f t="shared" si="14"/>
        <v>1.30772</v>
      </c>
      <c r="L60" s="204">
        <f t="shared" ref="L60:L89" si="21">$B$19*I60</f>
        <v>3.7898223999999998</v>
      </c>
      <c r="M60" s="204">
        <f t="shared" si="15"/>
        <v>4.2133728000000001</v>
      </c>
      <c r="N60" s="204">
        <f t="shared" ref="N60:N89" si="22">$B$19*K60</f>
        <v>4.7601008</v>
      </c>
    </row>
    <row r="61" spans="1:21" x14ac:dyDescent="0.25">
      <c r="A61" s="286">
        <v>2</v>
      </c>
      <c r="B61" s="272">
        <f>IF($L$3="m",'DATOS DE ENTRADA'!J75,'DATOS DE ENTRADA'!H75)</f>
        <v>103.67776424331029</v>
      </c>
      <c r="C61" s="273">
        <f t="shared" si="16"/>
        <v>103.67776424331029</v>
      </c>
      <c r="D61" s="273">
        <f t="shared" si="12"/>
        <v>103.67776424331029</v>
      </c>
      <c r="E61" s="273">
        <f t="shared" si="12"/>
        <v>103.67776424331029</v>
      </c>
      <c r="F61" s="107">
        <f t="shared" si="17"/>
        <v>2</v>
      </c>
      <c r="G61" s="107">
        <f t="shared" si="18"/>
        <v>2</v>
      </c>
      <c r="H61" s="107">
        <f t="shared" si="19"/>
        <v>2</v>
      </c>
      <c r="I61" s="274">
        <f t="shared" si="20"/>
        <v>1.0411599999999999</v>
      </c>
      <c r="J61" s="274">
        <f t="shared" si="13"/>
        <v>1.1575199999999999</v>
      </c>
      <c r="K61" s="274">
        <f t="shared" si="14"/>
        <v>1.30772</v>
      </c>
      <c r="L61" s="204">
        <f t="shared" si="21"/>
        <v>3.7898223999999998</v>
      </c>
      <c r="M61" s="204">
        <f t="shared" si="15"/>
        <v>4.2133728000000001</v>
      </c>
      <c r="N61" s="204">
        <f t="shared" si="22"/>
        <v>4.7601008</v>
      </c>
    </row>
    <row r="62" spans="1:21" x14ac:dyDescent="0.25">
      <c r="A62" s="286">
        <v>3</v>
      </c>
      <c r="B62" s="272">
        <f>IF($L$3="m",'DATOS DE ENTRADA'!J76,'DATOS DE ENTRADA'!H76)</f>
        <v>103.46624994895456</v>
      </c>
      <c r="C62" s="273">
        <f t="shared" si="16"/>
        <v>103.46624994895456</v>
      </c>
      <c r="D62" s="273">
        <f t="shared" si="12"/>
        <v>103.46624994895456</v>
      </c>
      <c r="E62" s="273">
        <f t="shared" si="12"/>
        <v>103.46624994895456</v>
      </c>
      <c r="F62" s="107">
        <f t="shared" si="17"/>
        <v>2</v>
      </c>
      <c r="G62" s="107">
        <f t="shared" si="18"/>
        <v>2</v>
      </c>
      <c r="H62" s="107">
        <f t="shared" si="19"/>
        <v>2</v>
      </c>
      <c r="I62" s="274">
        <f t="shared" si="20"/>
        <v>1.0411599999999999</v>
      </c>
      <c r="J62" s="274">
        <f t="shared" si="13"/>
        <v>1.1575199999999999</v>
      </c>
      <c r="K62" s="274">
        <f t="shared" si="14"/>
        <v>1.30772</v>
      </c>
      <c r="L62" s="204">
        <f t="shared" si="21"/>
        <v>3.7898223999999998</v>
      </c>
      <c r="M62" s="204">
        <f t="shared" si="15"/>
        <v>4.2133728000000001</v>
      </c>
      <c r="N62" s="204">
        <f>$B$19*K62</f>
        <v>4.7601008</v>
      </c>
    </row>
    <row r="63" spans="1:21" x14ac:dyDescent="0.25">
      <c r="A63" s="286">
        <v>4</v>
      </c>
      <c r="B63" s="272">
        <f>IF($L$3="m",'DATOS DE ENTRADA'!J77,'DATOS DE ENTRADA'!H77)</f>
        <v>103.12023744742318</v>
      </c>
      <c r="C63" s="273">
        <f t="shared" si="16"/>
        <v>103.12023744742318</v>
      </c>
      <c r="D63" s="273">
        <f t="shared" si="12"/>
        <v>103.12023744742318</v>
      </c>
      <c r="E63" s="273">
        <f t="shared" si="12"/>
        <v>103.12023744742318</v>
      </c>
      <c r="F63" s="107">
        <f t="shared" si="17"/>
        <v>2</v>
      </c>
      <c r="G63" s="107">
        <f t="shared" si="18"/>
        <v>2</v>
      </c>
      <c r="H63" s="107">
        <f t="shared" si="19"/>
        <v>2</v>
      </c>
      <c r="I63" s="274">
        <f t="shared" si="20"/>
        <v>1.0411599999999999</v>
      </c>
      <c r="J63" s="274">
        <f t="shared" si="13"/>
        <v>1.1575199999999999</v>
      </c>
      <c r="K63" s="274">
        <f t="shared" si="14"/>
        <v>1.30772</v>
      </c>
      <c r="L63" s="204">
        <f t="shared" si="21"/>
        <v>3.7898223999999998</v>
      </c>
      <c r="M63" s="204">
        <f t="shared" si="15"/>
        <v>4.2133728000000001</v>
      </c>
      <c r="N63" s="204">
        <f t="shared" si="22"/>
        <v>4.7601008</v>
      </c>
    </row>
    <row r="64" spans="1:21" x14ac:dyDescent="0.25">
      <c r="A64" s="286">
        <v>5</v>
      </c>
      <c r="B64" s="272">
        <f>IF($L$3="m",'DATOS DE ENTRADA'!J78,'DATOS DE ENTRADA'!H78)</f>
        <v>102.76384457084589</v>
      </c>
      <c r="C64" s="273">
        <f t="shared" si="16"/>
        <v>102.76384457084589</v>
      </c>
      <c r="D64" s="273">
        <f t="shared" si="12"/>
        <v>102.76384457084589</v>
      </c>
      <c r="E64" s="273">
        <f t="shared" si="12"/>
        <v>102.76384457084589</v>
      </c>
      <c r="F64" s="107">
        <f t="shared" si="17"/>
        <v>2</v>
      </c>
      <c r="G64" s="107">
        <f t="shared" si="18"/>
        <v>2</v>
      </c>
      <c r="H64" s="107">
        <f t="shared" si="19"/>
        <v>2</v>
      </c>
      <c r="I64" s="274">
        <f t="shared" si="20"/>
        <v>1.0411599999999999</v>
      </c>
      <c r="J64" s="274">
        <f t="shared" si="13"/>
        <v>1.1575199999999999</v>
      </c>
      <c r="K64" s="274">
        <f t="shared" si="14"/>
        <v>1.30772</v>
      </c>
      <c r="L64" s="204">
        <f t="shared" si="21"/>
        <v>3.7898223999999998</v>
      </c>
      <c r="M64" s="204">
        <f t="shared" si="15"/>
        <v>4.2133728000000001</v>
      </c>
      <c r="N64" s="204">
        <f t="shared" si="22"/>
        <v>4.7601008</v>
      </c>
    </row>
    <row r="65" spans="1:14" x14ac:dyDescent="0.25">
      <c r="A65" s="286">
        <v>6</v>
      </c>
      <c r="B65" s="272">
        <f>IF($L$3="m",'DATOS DE ENTRADA'!J79,'DATOS DE ENTRADA'!H79)</f>
        <v>102.39675990797126</v>
      </c>
      <c r="C65" s="273">
        <f t="shared" si="16"/>
        <v>102.39675990797126</v>
      </c>
      <c r="D65" s="273">
        <f t="shared" si="12"/>
        <v>102.39675990797126</v>
      </c>
      <c r="E65" s="273">
        <f t="shared" si="12"/>
        <v>102.39675990797126</v>
      </c>
      <c r="F65" s="107">
        <f t="shared" si="17"/>
        <v>2</v>
      </c>
      <c r="G65" s="107">
        <f t="shared" si="18"/>
        <v>2</v>
      </c>
      <c r="H65" s="107">
        <f t="shared" si="19"/>
        <v>2</v>
      </c>
      <c r="I65" s="274">
        <f t="shared" si="20"/>
        <v>1.0411599999999999</v>
      </c>
      <c r="J65" s="274">
        <f t="shared" si="13"/>
        <v>1.1575199999999999</v>
      </c>
      <c r="K65" s="274">
        <f t="shared" si="14"/>
        <v>1.30772</v>
      </c>
      <c r="L65" s="204">
        <f t="shared" si="21"/>
        <v>3.7898223999999998</v>
      </c>
      <c r="M65" s="204">
        <f t="shared" si="15"/>
        <v>4.2133728000000001</v>
      </c>
      <c r="N65" s="204">
        <f t="shared" si="22"/>
        <v>4.7601008</v>
      </c>
    </row>
    <row r="66" spans="1:14" x14ac:dyDescent="0.25">
      <c r="A66" s="286">
        <v>7</v>
      </c>
      <c r="B66" s="272">
        <f>IF($L$3="m",'DATOS DE ENTRADA'!J80,'DATOS DE ENTRADA'!H80)</f>
        <v>102.0186627052104</v>
      </c>
      <c r="C66" s="273">
        <f t="shared" si="16"/>
        <v>102.0186627052104</v>
      </c>
      <c r="D66" s="273">
        <f t="shared" si="12"/>
        <v>102.0186627052104</v>
      </c>
      <c r="E66" s="273">
        <f t="shared" si="12"/>
        <v>102.0186627052104</v>
      </c>
      <c r="F66" s="107">
        <f t="shared" si="17"/>
        <v>2</v>
      </c>
      <c r="G66" s="107">
        <f t="shared" si="18"/>
        <v>2</v>
      </c>
      <c r="H66" s="107">
        <f t="shared" si="19"/>
        <v>2</v>
      </c>
      <c r="I66" s="274">
        <f t="shared" si="20"/>
        <v>1.0411599999999999</v>
      </c>
      <c r="J66" s="274">
        <f t="shared" si="13"/>
        <v>1.1575199999999999</v>
      </c>
      <c r="K66" s="274">
        <f t="shared" si="14"/>
        <v>1.30772</v>
      </c>
      <c r="L66" s="204">
        <f t="shared" si="21"/>
        <v>3.7898223999999998</v>
      </c>
      <c r="M66" s="204">
        <f t="shared" si="15"/>
        <v>4.2133728000000001</v>
      </c>
      <c r="N66" s="204">
        <f t="shared" si="22"/>
        <v>4.7601008</v>
      </c>
    </row>
    <row r="67" spans="1:14" x14ac:dyDescent="0.25">
      <c r="A67" s="286">
        <v>8</v>
      </c>
      <c r="B67" s="272">
        <f>IF($L$3="m",'DATOS DE ENTRADA'!J81,'DATOS DE ENTRADA'!H81)</f>
        <v>101.62922258636671</v>
      </c>
      <c r="C67" s="273">
        <f t="shared" si="16"/>
        <v>101.62922258636671</v>
      </c>
      <c r="D67" s="273">
        <f t="shared" si="12"/>
        <v>101.62922258636671</v>
      </c>
      <c r="E67" s="273">
        <f t="shared" si="12"/>
        <v>101.62922258636671</v>
      </c>
      <c r="F67" s="107">
        <f t="shared" si="17"/>
        <v>2</v>
      </c>
      <c r="G67" s="107">
        <f t="shared" si="18"/>
        <v>2</v>
      </c>
      <c r="H67" s="107">
        <f t="shared" si="19"/>
        <v>2</v>
      </c>
      <c r="I67" s="274">
        <f t="shared" si="20"/>
        <v>1.0411599999999999</v>
      </c>
      <c r="J67" s="274">
        <f t="shared" si="13"/>
        <v>1.1575199999999999</v>
      </c>
      <c r="K67" s="274">
        <f t="shared" si="14"/>
        <v>1.30772</v>
      </c>
      <c r="L67" s="204">
        <f t="shared" si="21"/>
        <v>3.7898223999999998</v>
      </c>
      <c r="M67" s="204">
        <f t="shared" si="15"/>
        <v>4.2133728000000001</v>
      </c>
      <c r="N67" s="204">
        <f t="shared" si="22"/>
        <v>4.7601008</v>
      </c>
    </row>
    <row r="68" spans="1:14" x14ac:dyDescent="0.25">
      <c r="A68" s="286">
        <v>9</v>
      </c>
      <c r="B68" s="272">
        <f>IF($L$3="m",'DATOS DE ENTRADA'!J82,'DATOS DE ENTRADA'!H82)</f>
        <v>101.22809926395772</v>
      </c>
      <c r="C68" s="273">
        <f t="shared" si="16"/>
        <v>101.22809926395772</v>
      </c>
      <c r="D68" s="273">
        <f t="shared" si="12"/>
        <v>101.22809926395772</v>
      </c>
      <c r="E68" s="273">
        <f t="shared" si="12"/>
        <v>101.22809926395772</v>
      </c>
      <c r="F68" s="107">
        <f t="shared" si="17"/>
        <v>2</v>
      </c>
      <c r="G68" s="107">
        <f t="shared" si="18"/>
        <v>2</v>
      </c>
      <c r="H68" s="107">
        <f t="shared" si="19"/>
        <v>2</v>
      </c>
      <c r="I68" s="274">
        <f t="shared" si="20"/>
        <v>1.0411599999999999</v>
      </c>
      <c r="J68" s="274">
        <f t="shared" si="13"/>
        <v>1.1575199999999999</v>
      </c>
      <c r="K68" s="274">
        <f t="shared" si="14"/>
        <v>1.30772</v>
      </c>
      <c r="L68" s="204">
        <f t="shared" si="21"/>
        <v>3.7898223999999998</v>
      </c>
      <c r="M68" s="204">
        <f t="shared" si="15"/>
        <v>4.2133728000000001</v>
      </c>
      <c r="N68" s="204">
        <f t="shared" si="22"/>
        <v>4.7601008</v>
      </c>
    </row>
    <row r="69" spans="1:14" x14ac:dyDescent="0.25">
      <c r="A69" s="286">
        <v>10</v>
      </c>
      <c r="B69" s="272">
        <f>IF($L$3="m",'DATOS DE ENTRADA'!J83,'DATOS DE ENTRADA'!H83)</f>
        <v>100.81494224187644</v>
      </c>
      <c r="C69" s="273">
        <f t="shared" si="16"/>
        <v>100.81494224187644</v>
      </c>
      <c r="D69" s="273">
        <f t="shared" si="12"/>
        <v>100.81494224187644</v>
      </c>
      <c r="E69" s="273">
        <f t="shared" si="12"/>
        <v>100.81494224187644</v>
      </c>
      <c r="F69" s="107">
        <f t="shared" si="17"/>
        <v>2</v>
      </c>
      <c r="G69" s="107">
        <f t="shared" si="18"/>
        <v>2</v>
      </c>
      <c r="H69" s="107">
        <f t="shared" si="19"/>
        <v>2</v>
      </c>
      <c r="I69" s="274">
        <f t="shared" si="20"/>
        <v>1.0411599999999999</v>
      </c>
      <c r="J69" s="274">
        <f t="shared" si="13"/>
        <v>1.1575199999999999</v>
      </c>
      <c r="K69" s="274">
        <f t="shared" si="14"/>
        <v>1.30772</v>
      </c>
      <c r="L69" s="204">
        <f t="shared" si="21"/>
        <v>3.7898223999999998</v>
      </c>
      <c r="M69" s="204">
        <f t="shared" si="15"/>
        <v>4.2133728000000001</v>
      </c>
      <c r="N69" s="204">
        <f t="shared" si="22"/>
        <v>4.7601008</v>
      </c>
    </row>
    <row r="70" spans="1:14" x14ac:dyDescent="0.25">
      <c r="A70" s="286">
        <v>11</v>
      </c>
      <c r="B70" s="272">
        <f>IF($L$3="m",'DATOS DE ENTRADA'!J84,'DATOS DE ENTRADA'!H84)</f>
        <v>100.38939050913274</v>
      </c>
      <c r="C70" s="273">
        <f t="shared" si="16"/>
        <v>100.38939050913274</v>
      </c>
      <c r="D70" s="273">
        <f t="shared" si="12"/>
        <v>100.38939050913274</v>
      </c>
      <c r="E70" s="273">
        <f t="shared" si="12"/>
        <v>100.38939050913274</v>
      </c>
      <c r="F70" s="107">
        <f t="shared" si="17"/>
        <v>2</v>
      </c>
      <c r="G70" s="107">
        <f t="shared" si="18"/>
        <v>2</v>
      </c>
      <c r="H70" s="107">
        <f t="shared" si="19"/>
        <v>2</v>
      </c>
      <c r="I70" s="274">
        <f t="shared" si="20"/>
        <v>1.0411599999999999</v>
      </c>
      <c r="J70" s="274">
        <f t="shared" si="13"/>
        <v>1.1575199999999999</v>
      </c>
      <c r="K70" s="274">
        <f t="shared" si="14"/>
        <v>1.30772</v>
      </c>
      <c r="L70" s="204">
        <f t="shared" si="21"/>
        <v>3.7898223999999998</v>
      </c>
      <c r="M70" s="204">
        <f t="shared" si="15"/>
        <v>4.2133728000000001</v>
      </c>
      <c r="N70" s="204">
        <f t="shared" si="22"/>
        <v>4.7601008</v>
      </c>
    </row>
    <row r="71" spans="1:14" x14ac:dyDescent="0.25">
      <c r="A71" s="286">
        <v>12</v>
      </c>
      <c r="B71" s="272">
        <f>IF($L$3="m",'DATOS DE ENTRADA'!J85,'DATOS DE ENTRADA'!H85)</f>
        <v>99.951072224406715</v>
      </c>
      <c r="C71" s="273">
        <f t="shared" si="16"/>
        <v>99.951072224406715</v>
      </c>
      <c r="D71" s="273">
        <f t="shared" si="12"/>
        <v>99.951072224406715</v>
      </c>
      <c r="E71" s="273">
        <f t="shared" si="12"/>
        <v>99.951072224406715</v>
      </c>
      <c r="F71" s="107">
        <f t="shared" si="17"/>
        <v>2</v>
      </c>
      <c r="G71" s="107">
        <f t="shared" si="18"/>
        <v>2</v>
      </c>
      <c r="H71" s="107">
        <f t="shared" si="19"/>
        <v>2</v>
      </c>
      <c r="I71" s="274">
        <f t="shared" si="20"/>
        <v>1.0411599999999999</v>
      </c>
      <c r="J71" s="274">
        <f t="shared" si="13"/>
        <v>1.1575199999999999</v>
      </c>
      <c r="K71" s="274">
        <f t="shared" si="14"/>
        <v>1.30772</v>
      </c>
      <c r="L71" s="204">
        <f t="shared" si="21"/>
        <v>3.7898223999999998</v>
      </c>
      <c r="M71" s="204">
        <f t="shared" si="15"/>
        <v>4.2133728000000001</v>
      </c>
      <c r="N71" s="204">
        <f t="shared" si="22"/>
        <v>4.7601008</v>
      </c>
    </row>
    <row r="72" spans="1:14" x14ac:dyDescent="0.25">
      <c r="A72" s="286">
        <v>13</v>
      </c>
      <c r="B72" s="272">
        <f>IF($L$3="m",'DATOS DE ENTRADA'!J86,'DATOS DE ENTRADA'!H86)</f>
        <v>99.499604391138917</v>
      </c>
      <c r="C72" s="273">
        <f t="shared" si="16"/>
        <v>99.499604391138917</v>
      </c>
      <c r="D72" s="273">
        <f t="shared" si="12"/>
        <v>99.499604391138917</v>
      </c>
      <c r="E72" s="273">
        <f t="shared" si="12"/>
        <v>99.499604391138917</v>
      </c>
      <c r="F72" s="107">
        <f t="shared" si="17"/>
        <v>2</v>
      </c>
      <c r="G72" s="107">
        <f t="shared" si="18"/>
        <v>2</v>
      </c>
      <c r="H72" s="107">
        <f t="shared" si="19"/>
        <v>2</v>
      </c>
      <c r="I72" s="274">
        <f t="shared" si="20"/>
        <v>1.0411599999999999</v>
      </c>
      <c r="J72" s="274">
        <f t="shared" si="13"/>
        <v>1.1575199999999999</v>
      </c>
      <c r="K72" s="274">
        <f t="shared" si="14"/>
        <v>1.30772</v>
      </c>
      <c r="L72" s="204">
        <f t="shared" si="21"/>
        <v>3.7898223999999998</v>
      </c>
      <c r="M72" s="204">
        <f t="shared" si="15"/>
        <v>4.2133728000000001</v>
      </c>
      <c r="N72" s="204">
        <f t="shared" si="22"/>
        <v>4.7601008</v>
      </c>
    </row>
    <row r="73" spans="1:14" x14ac:dyDescent="0.25">
      <c r="A73" s="286">
        <v>14</v>
      </c>
      <c r="B73" s="272">
        <f>IF($L$3="m",'DATOS DE ENTRADA'!J87,'DATOS DE ENTRADA'!H87)</f>
        <v>99.034592522873083</v>
      </c>
      <c r="C73" s="273">
        <f t="shared" si="16"/>
        <v>99.034592522873083</v>
      </c>
      <c r="D73" s="273">
        <f t="shared" si="12"/>
        <v>99.034592522873083</v>
      </c>
      <c r="E73" s="273">
        <f t="shared" si="12"/>
        <v>99.034592522873083</v>
      </c>
      <c r="F73" s="107">
        <f t="shared" si="17"/>
        <v>2</v>
      </c>
      <c r="G73" s="107">
        <f t="shared" si="18"/>
        <v>2</v>
      </c>
      <c r="H73" s="107">
        <f t="shared" si="19"/>
        <v>2</v>
      </c>
      <c r="I73" s="274">
        <f t="shared" si="20"/>
        <v>1.0411599999999999</v>
      </c>
      <c r="J73" s="274">
        <f t="shared" si="13"/>
        <v>1.1575199999999999</v>
      </c>
      <c r="K73" s="274">
        <f t="shared" si="14"/>
        <v>1.30772</v>
      </c>
      <c r="L73" s="204">
        <f t="shared" si="21"/>
        <v>3.7898223999999998</v>
      </c>
      <c r="M73" s="204">
        <f t="shared" si="15"/>
        <v>4.2133728000000001</v>
      </c>
      <c r="N73" s="204">
        <f t="shared" si="22"/>
        <v>4.7601008</v>
      </c>
    </row>
    <row r="74" spans="1:14" x14ac:dyDescent="0.25">
      <c r="A74" s="286">
        <v>15</v>
      </c>
      <c r="B74" s="272">
        <f>IF($L$3="m",'DATOS DE ENTRADA'!J88,'DATOS DE ENTRADA'!H88)</f>
        <v>98.555630298559279</v>
      </c>
      <c r="C74" s="273">
        <f t="shared" si="16"/>
        <v>98.555630298559279</v>
      </c>
      <c r="D74" s="273">
        <f t="shared" si="12"/>
        <v>98.555630298559279</v>
      </c>
      <c r="E74" s="273">
        <f t="shared" si="12"/>
        <v>98.555630298559279</v>
      </c>
      <c r="F74" s="107">
        <f t="shared" si="17"/>
        <v>2</v>
      </c>
      <c r="G74" s="107">
        <f t="shared" si="18"/>
        <v>2</v>
      </c>
      <c r="H74" s="107">
        <f t="shared" si="19"/>
        <v>2</v>
      </c>
      <c r="I74" s="274">
        <f t="shared" si="20"/>
        <v>1.0411599999999999</v>
      </c>
      <c r="J74" s="274">
        <f t="shared" si="13"/>
        <v>1.1575199999999999</v>
      </c>
      <c r="K74" s="274">
        <f t="shared" si="14"/>
        <v>1.30772</v>
      </c>
      <c r="L74" s="204">
        <f t="shared" si="21"/>
        <v>3.7898223999999998</v>
      </c>
      <c r="M74" s="204">
        <f t="shared" si="15"/>
        <v>4.2133728000000001</v>
      </c>
      <c r="N74" s="204">
        <f t="shared" si="22"/>
        <v>4.7601008</v>
      </c>
    </row>
    <row r="75" spans="1:14" x14ac:dyDescent="0.25">
      <c r="A75" s="286">
        <v>16</v>
      </c>
      <c r="B75" s="272">
        <f>IF($L$3="m",'DATOS DE ENTRADA'!J89,'DATOS DE ENTRADA'!H89)</f>
        <v>98.246404650912623</v>
      </c>
      <c r="C75" s="273">
        <f t="shared" si="16"/>
        <v>98.246404650912623</v>
      </c>
      <c r="D75" s="273">
        <f t="shared" ref="D75:E89" si="23">C75</f>
        <v>98.246404650912623</v>
      </c>
      <c r="E75" s="273">
        <f t="shared" si="23"/>
        <v>98.246404650912623</v>
      </c>
      <c r="F75" s="107">
        <f t="shared" si="17"/>
        <v>2</v>
      </c>
      <c r="G75" s="107">
        <f t="shared" si="18"/>
        <v>2</v>
      </c>
      <c r="H75" s="107">
        <f t="shared" si="19"/>
        <v>2</v>
      </c>
      <c r="I75" s="274">
        <f t="shared" si="20"/>
        <v>1.0411599999999999</v>
      </c>
      <c r="J75" s="274">
        <f t="shared" si="13"/>
        <v>1.1575199999999999</v>
      </c>
      <c r="K75" s="274">
        <f t="shared" si="14"/>
        <v>1.30772</v>
      </c>
      <c r="L75" s="204">
        <f t="shared" si="21"/>
        <v>3.7898223999999998</v>
      </c>
      <c r="M75" s="204">
        <f t="shared" si="15"/>
        <v>4.2133728000000001</v>
      </c>
      <c r="N75" s="204">
        <f t="shared" si="22"/>
        <v>4.7601008</v>
      </c>
    </row>
    <row r="76" spans="1:14" x14ac:dyDescent="0.25">
      <c r="A76" s="286">
        <v>17</v>
      </c>
      <c r="B76" s="272">
        <f>IF($L$3="m",'DATOS DE ENTRADA'!J90,'DATOS DE ENTRADA'!H90)</f>
        <v>97.743796790440001</v>
      </c>
      <c r="C76" s="273">
        <f t="shared" si="16"/>
        <v>97.743796790440001</v>
      </c>
      <c r="D76" s="273">
        <f t="shared" si="23"/>
        <v>97.743796790440001</v>
      </c>
      <c r="E76" s="273">
        <f t="shared" si="23"/>
        <v>97.743796790440001</v>
      </c>
      <c r="F76" s="107">
        <f t="shared" si="17"/>
        <v>2</v>
      </c>
      <c r="G76" s="107">
        <f t="shared" si="18"/>
        <v>2</v>
      </c>
      <c r="H76" s="107">
        <f t="shared" si="19"/>
        <v>2</v>
      </c>
      <c r="I76" s="274">
        <f t="shared" si="20"/>
        <v>1.0411599999999999</v>
      </c>
      <c r="J76" s="274">
        <f t="shared" si="13"/>
        <v>1.1575199999999999</v>
      </c>
      <c r="K76" s="274">
        <f t="shared" si="14"/>
        <v>1.30772</v>
      </c>
      <c r="L76" s="204">
        <f t="shared" si="21"/>
        <v>3.7898223999999998</v>
      </c>
      <c r="M76" s="204">
        <f t="shared" si="15"/>
        <v>4.2133728000000001</v>
      </c>
      <c r="N76" s="204">
        <f t="shared" si="22"/>
        <v>4.7601008</v>
      </c>
    </row>
    <row r="77" spans="1:14" x14ac:dyDescent="0.25">
      <c r="A77" s="286">
        <v>18</v>
      </c>
      <c r="B77" s="272">
        <f>IF($L$3="m",'DATOS DE ENTRADA'!J91,'DATOS DE ENTRADA'!H91)</f>
        <v>97.226110694153206</v>
      </c>
      <c r="C77" s="273">
        <f t="shared" si="16"/>
        <v>97.226110694153206</v>
      </c>
      <c r="D77" s="273">
        <f t="shared" si="23"/>
        <v>97.226110694153206</v>
      </c>
      <c r="E77" s="273">
        <f t="shared" si="23"/>
        <v>97.226110694153206</v>
      </c>
      <c r="F77" s="107">
        <f t="shared" si="17"/>
        <v>2</v>
      </c>
      <c r="G77" s="107">
        <f t="shared" si="18"/>
        <v>2</v>
      </c>
      <c r="H77" s="107">
        <f t="shared" si="19"/>
        <v>2</v>
      </c>
      <c r="I77" s="274">
        <f t="shared" si="20"/>
        <v>1.0411599999999999</v>
      </c>
      <c r="J77" s="274">
        <f t="shared" si="13"/>
        <v>1.1575199999999999</v>
      </c>
      <c r="K77" s="274">
        <f t="shared" si="14"/>
        <v>1.30772</v>
      </c>
      <c r="L77" s="204">
        <f t="shared" si="21"/>
        <v>3.7898223999999998</v>
      </c>
      <c r="M77" s="204">
        <f t="shared" si="15"/>
        <v>4.2133728000000001</v>
      </c>
      <c r="N77" s="204">
        <f t="shared" si="22"/>
        <v>4.7601008</v>
      </c>
    </row>
    <row r="78" spans="1:14" x14ac:dyDescent="0.25">
      <c r="A78" s="286">
        <v>19</v>
      </c>
      <c r="B78" s="272">
        <f>IF($L$3="m",'DATOS DE ENTRADA'!J92,'DATOS DE ENTRADA'!H92)</f>
        <v>96.69289401497781</v>
      </c>
      <c r="C78" s="273">
        <f t="shared" si="16"/>
        <v>96.69289401497781</v>
      </c>
      <c r="D78" s="273">
        <f t="shared" si="23"/>
        <v>96.69289401497781</v>
      </c>
      <c r="E78" s="273">
        <f t="shared" si="23"/>
        <v>96.69289401497781</v>
      </c>
      <c r="F78" s="107">
        <f t="shared" si="17"/>
        <v>2</v>
      </c>
      <c r="G78" s="107">
        <f t="shared" si="18"/>
        <v>2</v>
      </c>
      <c r="H78" s="107">
        <f t="shared" si="19"/>
        <v>2</v>
      </c>
      <c r="I78" s="274">
        <f t="shared" si="20"/>
        <v>1.0411599999999999</v>
      </c>
      <c r="J78" s="274">
        <f t="shared" si="13"/>
        <v>1.1575199999999999</v>
      </c>
      <c r="K78" s="274">
        <f t="shared" si="14"/>
        <v>1.30772</v>
      </c>
      <c r="L78" s="204">
        <f t="shared" si="21"/>
        <v>3.7898223999999998</v>
      </c>
      <c r="M78" s="204">
        <f t="shared" si="15"/>
        <v>4.2133728000000001</v>
      </c>
      <c r="N78" s="204">
        <f t="shared" si="22"/>
        <v>4.7601008</v>
      </c>
    </row>
    <row r="79" spans="1:14" x14ac:dyDescent="0.25">
      <c r="A79" s="286">
        <v>20</v>
      </c>
      <c r="B79" s="272">
        <f>IF($L$3="m",'DATOS DE ENTRADA'!J93,'DATOS DE ENTRADA'!H93)</f>
        <v>96.143680835427134</v>
      </c>
      <c r="C79" s="273">
        <f t="shared" si="16"/>
        <v>96.143680835427134</v>
      </c>
      <c r="D79" s="273">
        <f t="shared" si="23"/>
        <v>96.143680835427134</v>
      </c>
      <c r="E79" s="273">
        <f t="shared" si="23"/>
        <v>96.143680835427134</v>
      </c>
      <c r="F79" s="107">
        <f t="shared" si="17"/>
        <v>2</v>
      </c>
      <c r="G79" s="107">
        <f t="shared" si="18"/>
        <v>2</v>
      </c>
      <c r="H79" s="107">
        <f t="shared" si="19"/>
        <v>2</v>
      </c>
      <c r="I79" s="274">
        <f t="shared" si="20"/>
        <v>1.0411599999999999</v>
      </c>
      <c r="J79" s="274">
        <f t="shared" si="13"/>
        <v>1.1575199999999999</v>
      </c>
      <c r="K79" s="274">
        <f t="shared" si="14"/>
        <v>1.30772</v>
      </c>
      <c r="L79" s="204">
        <f t="shared" si="21"/>
        <v>3.7898223999999998</v>
      </c>
      <c r="M79" s="204">
        <f t="shared" si="15"/>
        <v>4.2133728000000001</v>
      </c>
      <c r="N79" s="204">
        <f t="shared" si="22"/>
        <v>4.7601008</v>
      </c>
    </row>
    <row r="80" spans="1:14" x14ac:dyDescent="0.25">
      <c r="A80" s="286">
        <v>21</v>
      </c>
      <c r="B80" s="272">
        <f>IF($L$3="m",'DATOS DE ENTRADA'!J94,'DATOS DE ENTRADA'!H94)</f>
        <v>95.577991260489952</v>
      </c>
      <c r="C80" s="273">
        <f t="shared" si="16"/>
        <v>95.577991260489952</v>
      </c>
      <c r="D80" s="273">
        <f t="shared" si="23"/>
        <v>95.577991260489952</v>
      </c>
      <c r="E80" s="273">
        <f t="shared" si="23"/>
        <v>95.577991260489952</v>
      </c>
      <c r="F80" s="107">
        <f t="shared" si="17"/>
        <v>2</v>
      </c>
      <c r="G80" s="107">
        <f t="shared" si="18"/>
        <v>2</v>
      </c>
      <c r="H80" s="107">
        <f t="shared" si="19"/>
        <v>2</v>
      </c>
      <c r="I80" s="274">
        <f t="shared" si="20"/>
        <v>1.0411599999999999</v>
      </c>
      <c r="J80" s="274">
        <f t="shared" si="13"/>
        <v>1.1575199999999999</v>
      </c>
      <c r="K80" s="274">
        <f t="shared" si="14"/>
        <v>1.30772</v>
      </c>
      <c r="L80" s="204">
        <f t="shared" si="21"/>
        <v>3.7898223999999998</v>
      </c>
      <c r="M80" s="204">
        <f t="shared" si="15"/>
        <v>4.2133728000000001</v>
      </c>
      <c r="N80" s="204">
        <f t="shared" si="22"/>
        <v>4.7601008</v>
      </c>
    </row>
    <row r="81" spans="1:14" x14ac:dyDescent="0.25">
      <c r="A81" s="286">
        <v>22</v>
      </c>
      <c r="B81" s="272">
        <f>IF($L$3="m",'DATOS DE ENTRADA'!J95,'DATOS DE ENTRADA'!H95)</f>
        <v>94.995330998304652</v>
      </c>
      <c r="C81" s="273">
        <f t="shared" si="16"/>
        <v>94.995330998304652</v>
      </c>
      <c r="D81" s="273">
        <f t="shared" si="23"/>
        <v>94.995330998304652</v>
      </c>
      <c r="E81" s="273">
        <f t="shared" si="23"/>
        <v>94.995330998304652</v>
      </c>
      <c r="F81" s="107">
        <f t="shared" si="17"/>
        <v>2</v>
      </c>
      <c r="G81" s="107">
        <f t="shared" si="18"/>
        <v>2</v>
      </c>
      <c r="H81" s="107">
        <f t="shared" si="19"/>
        <v>2</v>
      </c>
      <c r="I81" s="274">
        <f t="shared" si="20"/>
        <v>1.0411599999999999</v>
      </c>
      <c r="J81" s="274">
        <f t="shared" si="13"/>
        <v>1.1575199999999999</v>
      </c>
      <c r="K81" s="274">
        <f t="shared" si="14"/>
        <v>1.30772</v>
      </c>
      <c r="L81" s="204">
        <f t="shared" si="21"/>
        <v>3.7898223999999998</v>
      </c>
      <c r="M81" s="204">
        <f t="shared" si="15"/>
        <v>4.2133728000000001</v>
      </c>
      <c r="N81" s="204">
        <f t="shared" si="22"/>
        <v>4.7601008</v>
      </c>
    </row>
    <row r="82" spans="1:14" x14ac:dyDescent="0.25">
      <c r="A82" s="286">
        <v>23</v>
      </c>
      <c r="B82" s="272">
        <f>IF($L$3="m",'DATOS DE ENTRADA'!J96,'DATOS DE ENTRADA'!H96)</f>
        <v>94.395190928253797</v>
      </c>
      <c r="C82" s="273">
        <f t="shared" si="16"/>
        <v>94.395190928253797</v>
      </c>
      <c r="D82" s="273">
        <f t="shared" si="23"/>
        <v>94.395190928253797</v>
      </c>
      <c r="E82" s="273">
        <f t="shared" si="23"/>
        <v>94.395190928253797</v>
      </c>
      <c r="F82" s="107">
        <f t="shared" si="17"/>
        <v>2</v>
      </c>
      <c r="G82" s="107">
        <f t="shared" si="18"/>
        <v>2</v>
      </c>
      <c r="H82" s="107">
        <f t="shared" si="19"/>
        <v>2</v>
      </c>
      <c r="I82" s="274">
        <f t="shared" si="20"/>
        <v>1.0411599999999999</v>
      </c>
      <c r="J82" s="274">
        <f t="shared" si="13"/>
        <v>1.1575199999999999</v>
      </c>
      <c r="K82" s="274">
        <f t="shared" si="14"/>
        <v>1.30772</v>
      </c>
      <c r="L82" s="204">
        <f t="shared" si="21"/>
        <v>3.7898223999999998</v>
      </c>
      <c r="M82" s="204">
        <f t="shared" si="15"/>
        <v>4.2133728000000001</v>
      </c>
      <c r="N82" s="204">
        <f t="shared" si="22"/>
        <v>4.7601008</v>
      </c>
    </row>
    <row r="83" spans="1:14" x14ac:dyDescent="0.25">
      <c r="A83" s="286">
        <v>24</v>
      </c>
      <c r="B83" s="272">
        <f>IF($L$3="m",'DATOS DE ENTRADA'!J97,'DATOS DE ENTRADA'!H97)</f>
        <v>93.777046656101405</v>
      </c>
      <c r="C83" s="273">
        <f t="shared" si="16"/>
        <v>93.777046656101405</v>
      </c>
      <c r="D83" s="273">
        <f t="shared" si="23"/>
        <v>93.777046656101405</v>
      </c>
      <c r="E83" s="273">
        <f t="shared" si="23"/>
        <v>93.777046656101405</v>
      </c>
      <c r="F83" s="107">
        <f t="shared" si="17"/>
        <v>2</v>
      </c>
      <c r="G83" s="107">
        <f t="shared" si="18"/>
        <v>2</v>
      </c>
      <c r="H83" s="107">
        <f t="shared" si="19"/>
        <v>2</v>
      </c>
      <c r="I83" s="274">
        <f t="shared" si="20"/>
        <v>1.0411599999999999</v>
      </c>
      <c r="J83" s="274">
        <f t="shared" si="13"/>
        <v>1.1575199999999999</v>
      </c>
      <c r="K83" s="274">
        <f t="shared" si="14"/>
        <v>1.30772</v>
      </c>
      <c r="L83" s="204">
        <f t="shared" si="21"/>
        <v>3.7898223999999998</v>
      </c>
      <c r="M83" s="204">
        <f t="shared" si="15"/>
        <v>4.2133728000000001</v>
      </c>
      <c r="N83" s="204">
        <f t="shared" si="22"/>
        <v>4.7601008</v>
      </c>
    </row>
    <row r="84" spans="1:14" x14ac:dyDescent="0.25">
      <c r="A84" s="286">
        <v>25</v>
      </c>
      <c r="B84" s="272">
        <f>IF($L$3="m",'DATOS DE ENTRADA'!J98,'DATOS DE ENTRADA'!H98)</f>
        <v>93.140358055784446</v>
      </c>
      <c r="C84" s="273">
        <f t="shared" si="16"/>
        <v>93.140358055784446</v>
      </c>
      <c r="D84" s="273">
        <f t="shared" si="23"/>
        <v>93.140358055784446</v>
      </c>
      <c r="E84" s="273">
        <f t="shared" si="23"/>
        <v>93.140358055784446</v>
      </c>
      <c r="F84" s="107">
        <f t="shared" si="17"/>
        <v>2</v>
      </c>
      <c r="G84" s="107">
        <f t="shared" si="18"/>
        <v>2</v>
      </c>
      <c r="H84" s="107">
        <f t="shared" si="19"/>
        <v>2</v>
      </c>
      <c r="I84" s="274">
        <f t="shared" si="20"/>
        <v>1.0411599999999999</v>
      </c>
      <c r="J84" s="274">
        <f t="shared" si="13"/>
        <v>1.1575199999999999</v>
      </c>
      <c r="K84" s="274">
        <f t="shared" si="14"/>
        <v>1.30772</v>
      </c>
      <c r="L84" s="204">
        <f t="shared" si="21"/>
        <v>3.7898223999999998</v>
      </c>
      <c r="M84" s="204">
        <f t="shared" si="15"/>
        <v>4.2133728000000001</v>
      </c>
      <c r="N84" s="204">
        <f t="shared" si="22"/>
        <v>4.7601008</v>
      </c>
    </row>
    <row r="85" spans="1:14" x14ac:dyDescent="0.25">
      <c r="A85" s="286">
        <v>26</v>
      </c>
      <c r="B85" s="272">
        <f>IF($L$3="m",'DATOS DE ENTRADA'!J99,'DATOS DE ENTRADA'!H99)</f>
        <v>92.726670208238005</v>
      </c>
      <c r="C85" s="273">
        <f t="shared" si="16"/>
        <v>92.726670208238005</v>
      </c>
      <c r="D85" s="273">
        <f t="shared" si="23"/>
        <v>92.726670208238005</v>
      </c>
      <c r="E85" s="273">
        <f t="shared" si="23"/>
        <v>92.726670208238005</v>
      </c>
      <c r="F85" s="107">
        <f t="shared" si="17"/>
        <v>2</v>
      </c>
      <c r="G85" s="107">
        <f t="shared" si="18"/>
        <v>2</v>
      </c>
      <c r="H85" s="107">
        <f t="shared" si="19"/>
        <v>2</v>
      </c>
      <c r="I85" s="274">
        <f t="shared" si="20"/>
        <v>1.0411599999999999</v>
      </c>
      <c r="J85" s="274">
        <f t="shared" si="13"/>
        <v>1.1575199999999999</v>
      </c>
      <c r="K85" s="274">
        <f t="shared" si="14"/>
        <v>1.30772</v>
      </c>
      <c r="L85" s="204">
        <f t="shared" si="21"/>
        <v>3.7898223999999998</v>
      </c>
      <c r="M85" s="204">
        <f t="shared" si="15"/>
        <v>4.2133728000000001</v>
      </c>
      <c r="N85" s="204">
        <f t="shared" si="22"/>
        <v>4.7601008</v>
      </c>
    </row>
    <row r="86" spans="1:14" x14ac:dyDescent="0.25">
      <c r="A86" s="286">
        <v>27</v>
      </c>
      <c r="B86" s="272">
        <f>IF($L$3="m",'DATOS DE ENTRADA'!J100,'DATOS DE ENTRADA'!H100)</f>
        <v>92.058470314485149</v>
      </c>
      <c r="C86" s="273">
        <f t="shared" si="16"/>
        <v>92.058470314485149</v>
      </c>
      <c r="D86" s="273">
        <f t="shared" si="23"/>
        <v>92.058470314485149</v>
      </c>
      <c r="E86" s="273">
        <f t="shared" si="23"/>
        <v>92.058470314485149</v>
      </c>
      <c r="F86" s="107">
        <f t="shared" si="17"/>
        <v>2</v>
      </c>
      <c r="G86" s="107">
        <f t="shared" si="18"/>
        <v>2</v>
      </c>
      <c r="H86" s="107">
        <f t="shared" si="19"/>
        <v>2</v>
      </c>
      <c r="I86" s="274">
        <f t="shared" si="20"/>
        <v>1.0411599999999999</v>
      </c>
      <c r="J86" s="274">
        <f t="shared" si="13"/>
        <v>1.1575199999999999</v>
      </c>
      <c r="K86" s="274">
        <f t="shared" si="14"/>
        <v>1.30772</v>
      </c>
      <c r="L86" s="204">
        <f t="shared" si="21"/>
        <v>3.7898223999999998</v>
      </c>
      <c r="M86" s="204">
        <f t="shared" si="15"/>
        <v>4.2133728000000001</v>
      </c>
      <c r="N86" s="204">
        <f t="shared" si="22"/>
        <v>4.7601008</v>
      </c>
    </row>
    <row r="87" spans="1:14" x14ac:dyDescent="0.25">
      <c r="A87" s="286">
        <v>28</v>
      </c>
      <c r="B87" s="272">
        <f>IF($L$3="m",'DATOS DE ENTRADA'!J101,'DATOS DE ENTRADA'!H101)</f>
        <v>91.370224423919694</v>
      </c>
      <c r="C87" s="273">
        <f t="shared" si="16"/>
        <v>91.370224423919694</v>
      </c>
      <c r="D87" s="273">
        <f t="shared" si="23"/>
        <v>91.370224423919694</v>
      </c>
      <c r="E87" s="273">
        <f t="shared" si="23"/>
        <v>91.370224423919694</v>
      </c>
      <c r="F87" s="107">
        <f t="shared" si="17"/>
        <v>2</v>
      </c>
      <c r="G87" s="107">
        <f t="shared" si="18"/>
        <v>2</v>
      </c>
      <c r="H87" s="107">
        <f t="shared" si="19"/>
        <v>2</v>
      </c>
      <c r="I87" s="274">
        <f t="shared" si="20"/>
        <v>1.0411599999999999</v>
      </c>
      <c r="J87" s="274">
        <f t="shared" si="13"/>
        <v>1.1575199999999999</v>
      </c>
      <c r="K87" s="274">
        <f t="shared" si="14"/>
        <v>1.30772</v>
      </c>
      <c r="L87" s="204">
        <f t="shared" si="21"/>
        <v>3.7898223999999998</v>
      </c>
      <c r="M87" s="204">
        <f t="shared" si="15"/>
        <v>4.2133728000000001</v>
      </c>
      <c r="N87" s="204">
        <f t="shared" si="22"/>
        <v>4.7601008</v>
      </c>
    </row>
    <row r="88" spans="1:14" x14ac:dyDescent="0.25">
      <c r="A88" s="286">
        <v>29</v>
      </c>
      <c r="B88" s="272">
        <f>IF($L$3="m",'DATOS DE ENTRADA'!J102,'DATOS DE ENTRADA'!H102)</f>
        <v>90.661331156637289</v>
      </c>
      <c r="C88" s="273">
        <f t="shared" si="16"/>
        <v>90.661331156637289</v>
      </c>
      <c r="D88" s="273">
        <f t="shared" si="23"/>
        <v>90.661331156637289</v>
      </c>
      <c r="E88" s="273">
        <f t="shared" si="23"/>
        <v>90.661331156637289</v>
      </c>
      <c r="F88" s="107">
        <f t="shared" si="17"/>
        <v>2</v>
      </c>
      <c r="G88" s="107">
        <f t="shared" si="18"/>
        <v>2</v>
      </c>
      <c r="H88" s="107">
        <f t="shared" si="19"/>
        <v>2</v>
      </c>
      <c r="I88" s="274">
        <f t="shared" si="20"/>
        <v>1.0411599999999999</v>
      </c>
      <c r="J88" s="274">
        <f t="shared" si="13"/>
        <v>1.1575199999999999</v>
      </c>
      <c r="K88" s="274">
        <f t="shared" si="14"/>
        <v>1.30772</v>
      </c>
      <c r="L88" s="204">
        <f t="shared" si="21"/>
        <v>3.7898223999999998</v>
      </c>
      <c r="M88" s="204">
        <f t="shared" si="15"/>
        <v>4.2133728000000001</v>
      </c>
      <c r="N88" s="204">
        <f t="shared" si="22"/>
        <v>4.7601008</v>
      </c>
    </row>
    <row r="89" spans="1:14" x14ac:dyDescent="0.25">
      <c r="A89" s="286">
        <v>30</v>
      </c>
      <c r="B89" s="272">
        <f>IF($L$3="m",'DATOS DE ENTRADA'!J103,'DATOS DE ENTRADA'!H103)</f>
        <v>89.93117109133641</v>
      </c>
      <c r="C89" s="273">
        <f t="shared" si="16"/>
        <v>89.93117109133641</v>
      </c>
      <c r="D89" s="273">
        <f t="shared" si="23"/>
        <v>89.93117109133641</v>
      </c>
      <c r="E89" s="273">
        <f t="shared" si="23"/>
        <v>89.93117109133641</v>
      </c>
      <c r="F89" s="107">
        <f t="shared" si="17"/>
        <v>2</v>
      </c>
      <c r="G89" s="107">
        <f t="shared" si="18"/>
        <v>2</v>
      </c>
      <c r="H89" s="107">
        <f t="shared" si="19"/>
        <v>2</v>
      </c>
      <c r="I89" s="274">
        <f t="shared" si="20"/>
        <v>1.0411599999999999</v>
      </c>
      <c r="J89" s="274">
        <f t="shared" si="13"/>
        <v>1.1575199999999999</v>
      </c>
      <c r="K89" s="274">
        <f t="shared" si="14"/>
        <v>1.30772</v>
      </c>
      <c r="L89" s="204">
        <f t="shared" si="21"/>
        <v>3.7898223999999998</v>
      </c>
      <c r="M89" s="204">
        <f t="shared" si="15"/>
        <v>4.2133728000000001</v>
      </c>
      <c r="N89" s="204">
        <f t="shared" si="22"/>
        <v>4.7601008</v>
      </c>
    </row>
    <row r="90" spans="1:14" x14ac:dyDescent="0.25">
      <c r="A90" s="286">
        <v>31</v>
      </c>
      <c r="B90" s="272">
        <f>IF($L$3="m",'DATOS DE ENTRADA'!J104,'DATOS DE ENTRADA'!H104)</f>
        <v>89.179106224076492</v>
      </c>
      <c r="C90" s="273">
        <f t="shared" si="16"/>
        <v>89.179106224076492</v>
      </c>
      <c r="D90" s="273">
        <f>C90</f>
        <v>89.179106224076492</v>
      </c>
      <c r="E90" s="273">
        <f>D90</f>
        <v>89.179106224076492</v>
      </c>
      <c r="F90" s="107">
        <f t="shared" si="17"/>
        <v>2</v>
      </c>
      <c r="G90" s="107">
        <f t="shared" si="18"/>
        <v>2</v>
      </c>
      <c r="H90" s="107">
        <f t="shared" si="19"/>
        <v>2</v>
      </c>
      <c r="I90" s="274">
        <f>0.00002*(F90)^3+0.003*(F90)^2+0.008*(F90)+1.013</f>
        <v>1.0411599999999999</v>
      </c>
      <c r="J90" s="274">
        <f>-0.00006*(G90)^3+0.004*(G90)^2-0.002*(G90)+1.146</f>
        <v>1.1575199999999999</v>
      </c>
      <c r="K90" s="274">
        <f>0.00009*(H90)^3+0.001*(H90)^2+0.02*(H90)+1.263</f>
        <v>1.30772</v>
      </c>
      <c r="L90" s="204">
        <f t="shared" ref="L90:N91" si="24">$B$19*I90</f>
        <v>3.7898223999999998</v>
      </c>
      <c r="M90" s="204">
        <f t="shared" si="24"/>
        <v>4.2133728000000001</v>
      </c>
      <c r="N90" s="204">
        <f t="shared" si="24"/>
        <v>4.7601008</v>
      </c>
    </row>
    <row r="91" spans="1:14" x14ac:dyDescent="0.25">
      <c r="A91" s="286">
        <v>32</v>
      </c>
      <c r="B91" s="272">
        <f>IF($L$3="m",'DATOS DE ENTRADA'!J105,'DATOS DE ENTRADA'!H105)</f>
        <v>88.4044794107988</v>
      </c>
      <c r="C91" s="273">
        <f t="shared" si="16"/>
        <v>88.4044794107988</v>
      </c>
      <c r="D91" s="273">
        <f>C91</f>
        <v>88.4044794107988</v>
      </c>
      <c r="E91" s="273">
        <f>D91</f>
        <v>88.4044794107988</v>
      </c>
      <c r="F91" s="107">
        <f t="shared" si="17"/>
        <v>2</v>
      </c>
      <c r="G91" s="107">
        <f t="shared" si="18"/>
        <v>2</v>
      </c>
      <c r="H91" s="107">
        <f t="shared" si="19"/>
        <v>2</v>
      </c>
      <c r="I91" s="274">
        <f>0.00002*(F91)^3+0.003*(F91)^2+0.008*(F91)+1.013</f>
        <v>1.0411599999999999</v>
      </c>
      <c r="J91" s="274">
        <f>-0.00006*(G91)^3+0.004*(G91)^2-0.002*(G91)+1.146</f>
        <v>1.1575199999999999</v>
      </c>
      <c r="K91" s="274">
        <f>0.00009*(H91)^3+0.001*(H91)^2+0.02*(H91)+1.263</f>
        <v>1.30772</v>
      </c>
      <c r="L91" s="204">
        <f t="shared" si="24"/>
        <v>3.7898223999999998</v>
      </c>
      <c r="M91" s="204">
        <f t="shared" si="24"/>
        <v>4.2133728000000001</v>
      </c>
      <c r="N91" s="204">
        <f t="shared" si="24"/>
        <v>4.7601008</v>
      </c>
    </row>
    <row r="93" spans="1:14" ht="15" customHeight="1" x14ac:dyDescent="0.25">
      <c r="A93" s="239" t="s">
        <v>242</v>
      </c>
      <c r="B93" s="19"/>
      <c r="C93" s="19"/>
    </row>
    <row r="94" spans="1:14" x14ac:dyDescent="0.25">
      <c r="A94" s="43" t="s">
        <v>99</v>
      </c>
      <c r="B94" s="169" t="str">
        <f>B20</f>
        <v>P</v>
      </c>
      <c r="C94" s="575" t="s">
        <v>229</v>
      </c>
      <c r="D94" s="575"/>
      <c r="E94" s="575"/>
      <c r="F94" s="575" t="s">
        <v>230</v>
      </c>
      <c r="G94" s="576"/>
      <c r="H94" s="576"/>
      <c r="I94" s="575" t="s">
        <v>231</v>
      </c>
      <c r="J94" s="575"/>
      <c r="K94" s="575"/>
      <c r="L94" s="575" t="s">
        <v>240</v>
      </c>
      <c r="M94" s="575"/>
      <c r="N94" s="575"/>
    </row>
    <row r="95" spans="1:14" x14ac:dyDescent="0.25">
      <c r="A95" s="271" t="s">
        <v>18</v>
      </c>
      <c r="B95" s="286" t="s">
        <v>20</v>
      </c>
      <c r="C95" s="279" t="s">
        <v>233</v>
      </c>
      <c r="D95" s="279" t="s">
        <v>234</v>
      </c>
      <c r="E95" s="279" t="s">
        <v>235</v>
      </c>
      <c r="F95" s="279" t="s">
        <v>233</v>
      </c>
      <c r="G95" s="279" t="s">
        <v>234</v>
      </c>
      <c r="H95" s="279" t="s">
        <v>235</v>
      </c>
      <c r="I95" s="279" t="s">
        <v>233</v>
      </c>
      <c r="J95" s="279" t="s">
        <v>234</v>
      </c>
      <c r="K95" s="279" t="s">
        <v>235</v>
      </c>
      <c r="L95" s="270" t="s">
        <v>233</v>
      </c>
      <c r="M95" s="270" t="s">
        <v>234</v>
      </c>
      <c r="N95" s="270" t="s">
        <v>235</v>
      </c>
    </row>
    <row r="96" spans="1:14" x14ac:dyDescent="0.25">
      <c r="A96" s="286">
        <v>0</v>
      </c>
      <c r="B96" s="272">
        <f>IF($L$3="m",'DATOS DE ENTRADA'!J108,'DATOS DE ENTRADA'!H108)</f>
        <v>80</v>
      </c>
      <c r="C96" s="273">
        <f>B96</f>
        <v>80</v>
      </c>
      <c r="D96" s="273">
        <f t="shared" ref="D96:D126" si="25">C96</f>
        <v>80</v>
      </c>
      <c r="E96" s="273">
        <f>D96</f>
        <v>80</v>
      </c>
      <c r="F96" s="107">
        <f>IF(C96&gt;$B$5,$A$5,IF(C96&gt;$B$6,$A$6,IF(C96&gt;$B$7,$A$7,IF(C96&gt;$B$8,$A$8,IF(C96&gt;$B$9,$A$9,IF(C96&gt;$B$10,$A$10,IF(C96&gt;$B$11,$A$11,IF(C96&gt;$B$12,$A$12,IF(C96&gt;$B$13,$A$13,IF(C96&gt;$B$14,$A$14,IF(C96&gt;$B$15,$A$15,12)))))))))))</f>
        <v>6</v>
      </c>
      <c r="G96" s="107">
        <f>IF(D96&gt;$C$5,$A$5,IF(D96&gt;$C$6,$A$6,IF(D96&gt;$C$7,$A$7,IF(D96&gt;$C$8,$A$8,IF(D96&gt;$C$9,$A$9,IF(D96&gt;$C$10,$A$10,IF(D96&gt;$C$11,$A$11,IF(D96&gt;$C$12,$A$12,IF(D96&gt;$C$13,$A$13,IF(D96&gt;$C$14,$A$14,IF(D96&gt;$C$15,$A$15,12)))))))))))</f>
        <v>2</v>
      </c>
      <c r="H96" s="107">
        <f>IF(E96&gt;$D$5,$A$5,IF(E96&gt;$D$6,$A$6,IF(E96&gt;$D$7,$A$7,IF(E96&gt;$D$8,$A$8,IF(E96&gt;$D$9,$A$9,IF(E96&gt;$D$10,$A$10,IF(E96&gt;$D$11,$A$11,IF(E96&gt;$D$12,$A$12,IF(E96&gt;$D$13,$A$13,IF(E96&gt;$D$14,$A$14,IF(E96&gt;$D$15,$A$15,12)))))))))))</f>
        <v>2</v>
      </c>
      <c r="I96" s="274">
        <f>0.00002*(F96)^3+0.003*(F96)^2+0.008*(F96)+1.013</f>
        <v>1.1733199999999999</v>
      </c>
      <c r="J96" s="274">
        <f t="shared" ref="J96:J126" si="26">-0.00006*(G96)^3+0.004*(G96)^2-0.002*(G96)+1.146</f>
        <v>1.1575199999999999</v>
      </c>
      <c r="K96" s="274">
        <f t="shared" ref="K96:K126" si="27">0.00009*(H96)^3+0.001*(H96)^2+0.02*(H96)+1.263</f>
        <v>1.30772</v>
      </c>
      <c r="L96" s="204">
        <f>$B$19*I96</f>
        <v>4.2708848000000001</v>
      </c>
      <c r="M96" s="204">
        <f t="shared" ref="M96:M126" si="28">$B$19*J96</f>
        <v>4.2133728000000001</v>
      </c>
      <c r="N96" s="204">
        <f>$B$19*K96</f>
        <v>4.7601008</v>
      </c>
    </row>
    <row r="97" spans="1:14" x14ac:dyDescent="0.25">
      <c r="A97" s="286">
        <v>1</v>
      </c>
      <c r="B97" s="272">
        <f>IF($L$3="m",'DATOS DE ENTRADA'!J109,'DATOS DE ENTRADA'!H109)</f>
        <v>80</v>
      </c>
      <c r="C97" s="273">
        <f t="shared" ref="C97:C128" si="29">B97</f>
        <v>80</v>
      </c>
      <c r="D97" s="273">
        <f t="shared" si="25"/>
        <v>80</v>
      </c>
      <c r="E97" s="273">
        <f t="shared" ref="E97:E126" si="30">D97</f>
        <v>80</v>
      </c>
      <c r="F97" s="107">
        <f t="shared" ref="F97:F128" si="31">IF(C97&gt;$B$5,$A$5,IF(C97&gt;$B$6,$A$6,IF(C97&gt;$B$7,$A$7,IF(C97&gt;$B$8,$A$8,IF(C97&gt;$B$9,$A$9,IF(C97&gt;$B$10,$A$10,IF(C97&gt;$B$11,$A$11,IF(C97&gt;$B$12,$A$12,IF(C97&gt;$B$13,$A$13,IF(C97&gt;$B$14,$A$14,IF(C97&gt;$B$15,$A$15,12)))))))))))</f>
        <v>6</v>
      </c>
      <c r="G97" s="107">
        <f t="shared" ref="G97:G128" si="32">IF(D97&gt;$C$5,$A$5,IF(D97&gt;$C$6,$A$6,IF(D97&gt;$C$7,$A$7,IF(D97&gt;$C$8,$A$8,IF(D97&gt;$C$9,$A$9,IF(D97&gt;$C$10,$A$10,IF(D97&gt;$C$11,$A$11,IF(D97&gt;$C$12,$A$12,IF(D97&gt;$C$13,$A$13,IF(D97&gt;$C$14,$A$14,IF(D97&gt;$C$15,$A$15,12)))))))))))</f>
        <v>2</v>
      </c>
      <c r="H97" s="107">
        <f t="shared" ref="H97:H128" si="33">IF(E97&gt;$D$5,$A$5,IF(E97&gt;$D$6,$A$6,IF(E97&gt;$D$7,$A$7,IF(E97&gt;$D$8,$A$8,IF(E97&gt;$D$9,$A$9,IF(E97&gt;$D$10,$A$10,IF(E97&gt;$D$11,$A$11,IF(E97&gt;$D$12,$A$12,IF(E97&gt;$D$13,$A$13,IF(E97&gt;$D$14,$A$14,IF(E97&gt;$D$15,$A$15,12)))))))))))</f>
        <v>2</v>
      </c>
      <c r="I97" s="274">
        <f t="shared" ref="I97:I126" si="34">0.00002*(F97)^3+0.003*(F97)^2+0.008*(F97)+1.013</f>
        <v>1.1733199999999999</v>
      </c>
      <c r="J97" s="274">
        <f t="shared" si="26"/>
        <v>1.1575199999999999</v>
      </c>
      <c r="K97" s="274">
        <f t="shared" si="27"/>
        <v>1.30772</v>
      </c>
      <c r="L97" s="204">
        <f t="shared" ref="L97:L126" si="35">$B$19*I97</f>
        <v>4.2708848000000001</v>
      </c>
      <c r="M97" s="204">
        <f t="shared" si="28"/>
        <v>4.2133728000000001</v>
      </c>
      <c r="N97" s="204">
        <f>$B$19*K97</f>
        <v>4.7601008</v>
      </c>
    </row>
    <row r="98" spans="1:14" x14ac:dyDescent="0.25">
      <c r="A98" s="286">
        <v>2</v>
      </c>
      <c r="B98" s="272">
        <f>IF($L$3="m",'DATOS DE ENTRADA'!J110,'DATOS DE ENTRADA'!H110)</f>
        <v>80</v>
      </c>
      <c r="C98" s="273">
        <f t="shared" si="29"/>
        <v>80</v>
      </c>
      <c r="D98" s="273">
        <f t="shared" si="25"/>
        <v>80</v>
      </c>
      <c r="E98" s="273">
        <f t="shared" si="30"/>
        <v>80</v>
      </c>
      <c r="F98" s="107">
        <f t="shared" si="31"/>
        <v>6</v>
      </c>
      <c r="G98" s="107">
        <f t="shared" si="32"/>
        <v>2</v>
      </c>
      <c r="H98" s="107">
        <f t="shared" si="33"/>
        <v>2</v>
      </c>
      <c r="I98" s="274">
        <f t="shared" si="34"/>
        <v>1.1733199999999999</v>
      </c>
      <c r="J98" s="274">
        <f t="shared" si="26"/>
        <v>1.1575199999999999</v>
      </c>
      <c r="K98" s="274">
        <f t="shared" si="27"/>
        <v>1.30772</v>
      </c>
      <c r="L98" s="204">
        <f t="shared" si="35"/>
        <v>4.2708848000000001</v>
      </c>
      <c r="M98" s="204">
        <f t="shared" si="28"/>
        <v>4.2133728000000001</v>
      </c>
      <c r="N98" s="204">
        <f>$B$19*K98</f>
        <v>4.7601008</v>
      </c>
    </row>
    <row r="99" spans="1:14" x14ac:dyDescent="0.25">
      <c r="A99" s="286">
        <v>3</v>
      </c>
      <c r="B99" s="272">
        <f>IF($L$3="m",'DATOS DE ENTRADA'!J111,'DATOS DE ENTRADA'!H111)</f>
        <v>80</v>
      </c>
      <c r="C99" s="273">
        <f t="shared" si="29"/>
        <v>80</v>
      </c>
      <c r="D99" s="273">
        <f t="shared" si="25"/>
        <v>80</v>
      </c>
      <c r="E99" s="273">
        <f t="shared" si="30"/>
        <v>80</v>
      </c>
      <c r="F99" s="107">
        <f t="shared" si="31"/>
        <v>6</v>
      </c>
      <c r="G99" s="107">
        <f t="shared" si="32"/>
        <v>2</v>
      </c>
      <c r="H99" s="107">
        <f t="shared" si="33"/>
        <v>2</v>
      </c>
      <c r="I99" s="274">
        <f t="shared" si="34"/>
        <v>1.1733199999999999</v>
      </c>
      <c r="J99" s="274">
        <f t="shared" si="26"/>
        <v>1.1575199999999999</v>
      </c>
      <c r="K99" s="274">
        <f t="shared" si="27"/>
        <v>1.30772</v>
      </c>
      <c r="L99" s="204">
        <f t="shared" si="35"/>
        <v>4.2708848000000001</v>
      </c>
      <c r="M99" s="204">
        <f t="shared" si="28"/>
        <v>4.2133728000000001</v>
      </c>
      <c r="N99" s="204">
        <f>$B$19*K99</f>
        <v>4.7601008</v>
      </c>
    </row>
    <row r="100" spans="1:14" x14ac:dyDescent="0.25">
      <c r="A100" s="286">
        <v>4</v>
      </c>
      <c r="B100" s="272">
        <f>IF($L$3="m",'DATOS DE ENTRADA'!J112,'DATOS DE ENTRADA'!H112)</f>
        <v>80</v>
      </c>
      <c r="C100" s="273">
        <f t="shared" si="29"/>
        <v>80</v>
      </c>
      <c r="D100" s="273">
        <f t="shared" si="25"/>
        <v>80</v>
      </c>
      <c r="E100" s="273">
        <f t="shared" si="30"/>
        <v>80</v>
      </c>
      <c r="F100" s="107">
        <f t="shared" si="31"/>
        <v>6</v>
      </c>
      <c r="G100" s="107">
        <f t="shared" si="32"/>
        <v>2</v>
      </c>
      <c r="H100" s="107">
        <f t="shared" si="33"/>
        <v>2</v>
      </c>
      <c r="I100" s="274">
        <f t="shared" si="34"/>
        <v>1.1733199999999999</v>
      </c>
      <c r="J100" s="274">
        <f t="shared" si="26"/>
        <v>1.1575199999999999</v>
      </c>
      <c r="K100" s="274">
        <f t="shared" si="27"/>
        <v>1.30772</v>
      </c>
      <c r="L100" s="204">
        <f t="shared" si="35"/>
        <v>4.2708848000000001</v>
      </c>
      <c r="M100" s="204">
        <f t="shared" si="28"/>
        <v>4.2133728000000001</v>
      </c>
      <c r="N100" s="204">
        <f t="shared" ref="N100:N126" si="36">$B$19*K100</f>
        <v>4.7601008</v>
      </c>
    </row>
    <row r="101" spans="1:14" x14ac:dyDescent="0.25">
      <c r="A101" s="286">
        <v>5</v>
      </c>
      <c r="B101" s="272">
        <f>IF($L$3="m",'DATOS DE ENTRADA'!J113,'DATOS DE ENTRADA'!H113)</f>
        <v>80</v>
      </c>
      <c r="C101" s="273">
        <f t="shared" si="29"/>
        <v>80</v>
      </c>
      <c r="D101" s="273">
        <f t="shared" si="25"/>
        <v>80</v>
      </c>
      <c r="E101" s="273">
        <f t="shared" si="30"/>
        <v>80</v>
      </c>
      <c r="F101" s="107">
        <f t="shared" si="31"/>
        <v>6</v>
      </c>
      <c r="G101" s="107">
        <f t="shared" si="32"/>
        <v>2</v>
      </c>
      <c r="H101" s="107">
        <f t="shared" si="33"/>
        <v>2</v>
      </c>
      <c r="I101" s="274">
        <f t="shared" si="34"/>
        <v>1.1733199999999999</v>
      </c>
      <c r="J101" s="274">
        <f t="shared" si="26"/>
        <v>1.1575199999999999</v>
      </c>
      <c r="K101" s="274">
        <f t="shared" si="27"/>
        <v>1.30772</v>
      </c>
      <c r="L101" s="204">
        <f t="shared" si="35"/>
        <v>4.2708848000000001</v>
      </c>
      <c r="M101" s="204">
        <f t="shared" si="28"/>
        <v>4.2133728000000001</v>
      </c>
      <c r="N101" s="204">
        <f t="shared" si="36"/>
        <v>4.7601008</v>
      </c>
    </row>
    <row r="102" spans="1:14" x14ac:dyDescent="0.25">
      <c r="A102" s="286">
        <v>6</v>
      </c>
      <c r="B102" s="272">
        <f>IF($L$3="m",'DATOS DE ENTRADA'!J114,'DATOS DE ENTRADA'!H114)</f>
        <v>80</v>
      </c>
      <c r="C102" s="273">
        <f t="shared" si="29"/>
        <v>80</v>
      </c>
      <c r="D102" s="273">
        <f t="shared" si="25"/>
        <v>80</v>
      </c>
      <c r="E102" s="273">
        <f t="shared" si="30"/>
        <v>80</v>
      </c>
      <c r="F102" s="107">
        <f t="shared" si="31"/>
        <v>6</v>
      </c>
      <c r="G102" s="107">
        <f t="shared" si="32"/>
        <v>2</v>
      </c>
      <c r="H102" s="107">
        <f t="shared" si="33"/>
        <v>2</v>
      </c>
      <c r="I102" s="274">
        <f t="shared" si="34"/>
        <v>1.1733199999999999</v>
      </c>
      <c r="J102" s="274">
        <f t="shared" si="26"/>
        <v>1.1575199999999999</v>
      </c>
      <c r="K102" s="274">
        <f t="shared" si="27"/>
        <v>1.30772</v>
      </c>
      <c r="L102" s="204">
        <f t="shared" si="35"/>
        <v>4.2708848000000001</v>
      </c>
      <c r="M102" s="204">
        <f t="shared" si="28"/>
        <v>4.2133728000000001</v>
      </c>
      <c r="N102" s="204">
        <f t="shared" si="36"/>
        <v>4.7601008</v>
      </c>
    </row>
    <row r="103" spans="1:14" x14ac:dyDescent="0.25">
      <c r="A103" s="286">
        <v>7</v>
      </c>
      <c r="B103" s="272">
        <f>IF($L$3="m",'DATOS DE ENTRADA'!J115,'DATOS DE ENTRADA'!H115)</f>
        <v>80</v>
      </c>
      <c r="C103" s="273">
        <f t="shared" si="29"/>
        <v>80</v>
      </c>
      <c r="D103" s="273">
        <f t="shared" si="25"/>
        <v>80</v>
      </c>
      <c r="E103" s="273">
        <f t="shared" si="30"/>
        <v>80</v>
      </c>
      <c r="F103" s="107">
        <f t="shared" si="31"/>
        <v>6</v>
      </c>
      <c r="G103" s="107">
        <f t="shared" si="32"/>
        <v>2</v>
      </c>
      <c r="H103" s="107">
        <f t="shared" si="33"/>
        <v>2</v>
      </c>
      <c r="I103" s="274">
        <f t="shared" si="34"/>
        <v>1.1733199999999999</v>
      </c>
      <c r="J103" s="274">
        <f t="shared" si="26"/>
        <v>1.1575199999999999</v>
      </c>
      <c r="K103" s="274">
        <f t="shared" si="27"/>
        <v>1.30772</v>
      </c>
      <c r="L103" s="204">
        <f t="shared" si="35"/>
        <v>4.2708848000000001</v>
      </c>
      <c r="M103" s="204">
        <f t="shared" si="28"/>
        <v>4.2133728000000001</v>
      </c>
      <c r="N103" s="204">
        <f t="shared" si="36"/>
        <v>4.7601008</v>
      </c>
    </row>
    <row r="104" spans="1:14" x14ac:dyDescent="0.25">
      <c r="A104" s="286">
        <v>8</v>
      </c>
      <c r="B104" s="272">
        <f>IF($L$3="m",'DATOS DE ENTRADA'!J116,'DATOS DE ENTRADA'!H116)</f>
        <v>80</v>
      </c>
      <c r="C104" s="273">
        <f t="shared" si="29"/>
        <v>80</v>
      </c>
      <c r="D104" s="273">
        <f t="shared" si="25"/>
        <v>80</v>
      </c>
      <c r="E104" s="273">
        <f t="shared" si="30"/>
        <v>80</v>
      </c>
      <c r="F104" s="107">
        <f t="shared" si="31"/>
        <v>6</v>
      </c>
      <c r="G104" s="107">
        <f t="shared" si="32"/>
        <v>2</v>
      </c>
      <c r="H104" s="107">
        <f t="shared" si="33"/>
        <v>2</v>
      </c>
      <c r="I104" s="274">
        <f t="shared" si="34"/>
        <v>1.1733199999999999</v>
      </c>
      <c r="J104" s="274">
        <f t="shared" si="26"/>
        <v>1.1575199999999999</v>
      </c>
      <c r="K104" s="274">
        <f t="shared" si="27"/>
        <v>1.30772</v>
      </c>
      <c r="L104" s="204">
        <f t="shared" si="35"/>
        <v>4.2708848000000001</v>
      </c>
      <c r="M104" s="204">
        <f t="shared" si="28"/>
        <v>4.2133728000000001</v>
      </c>
      <c r="N104" s="204">
        <f t="shared" si="36"/>
        <v>4.7601008</v>
      </c>
    </row>
    <row r="105" spans="1:14" x14ac:dyDescent="0.25">
      <c r="A105" s="286">
        <v>9</v>
      </c>
      <c r="B105" s="272">
        <f>IF($L$3="m",'DATOS DE ENTRADA'!J117,'DATOS DE ENTRADA'!H117)</f>
        <v>80</v>
      </c>
      <c r="C105" s="273">
        <f t="shared" si="29"/>
        <v>80</v>
      </c>
      <c r="D105" s="273">
        <f t="shared" si="25"/>
        <v>80</v>
      </c>
      <c r="E105" s="273">
        <f t="shared" si="30"/>
        <v>80</v>
      </c>
      <c r="F105" s="107">
        <f t="shared" si="31"/>
        <v>6</v>
      </c>
      <c r="G105" s="107">
        <f t="shared" si="32"/>
        <v>2</v>
      </c>
      <c r="H105" s="107">
        <f t="shared" si="33"/>
        <v>2</v>
      </c>
      <c r="I105" s="274">
        <f t="shared" si="34"/>
        <v>1.1733199999999999</v>
      </c>
      <c r="J105" s="274">
        <f t="shared" si="26"/>
        <v>1.1575199999999999</v>
      </c>
      <c r="K105" s="274">
        <f t="shared" si="27"/>
        <v>1.30772</v>
      </c>
      <c r="L105" s="204">
        <f t="shared" si="35"/>
        <v>4.2708848000000001</v>
      </c>
      <c r="M105" s="204">
        <f t="shared" si="28"/>
        <v>4.2133728000000001</v>
      </c>
      <c r="N105" s="204">
        <f t="shared" si="36"/>
        <v>4.7601008</v>
      </c>
    </row>
    <row r="106" spans="1:14" x14ac:dyDescent="0.25">
      <c r="A106" s="286">
        <v>10</v>
      </c>
      <c r="B106" s="272">
        <f>IF($L$3="m",'DATOS DE ENTRADA'!J118,'DATOS DE ENTRADA'!H118)</f>
        <v>80</v>
      </c>
      <c r="C106" s="273">
        <f t="shared" si="29"/>
        <v>80</v>
      </c>
      <c r="D106" s="273">
        <f t="shared" si="25"/>
        <v>80</v>
      </c>
      <c r="E106" s="273">
        <f t="shared" si="30"/>
        <v>80</v>
      </c>
      <c r="F106" s="107">
        <f t="shared" si="31"/>
        <v>6</v>
      </c>
      <c r="G106" s="107">
        <f t="shared" si="32"/>
        <v>2</v>
      </c>
      <c r="H106" s="107">
        <f t="shared" si="33"/>
        <v>2</v>
      </c>
      <c r="I106" s="274">
        <f t="shared" si="34"/>
        <v>1.1733199999999999</v>
      </c>
      <c r="J106" s="274">
        <f t="shared" si="26"/>
        <v>1.1575199999999999</v>
      </c>
      <c r="K106" s="274">
        <f t="shared" si="27"/>
        <v>1.30772</v>
      </c>
      <c r="L106" s="204">
        <f t="shared" si="35"/>
        <v>4.2708848000000001</v>
      </c>
      <c r="M106" s="204">
        <f t="shared" si="28"/>
        <v>4.2133728000000001</v>
      </c>
      <c r="N106" s="204">
        <f t="shared" si="36"/>
        <v>4.7601008</v>
      </c>
    </row>
    <row r="107" spans="1:14" x14ac:dyDescent="0.25">
      <c r="A107" s="286">
        <v>11</v>
      </c>
      <c r="B107" s="272">
        <f>IF($L$3="m",'DATOS DE ENTRADA'!J119,'DATOS DE ENTRADA'!H119)</f>
        <v>80</v>
      </c>
      <c r="C107" s="273">
        <f t="shared" si="29"/>
        <v>80</v>
      </c>
      <c r="D107" s="273">
        <f t="shared" si="25"/>
        <v>80</v>
      </c>
      <c r="E107" s="273">
        <f t="shared" si="30"/>
        <v>80</v>
      </c>
      <c r="F107" s="107">
        <f t="shared" si="31"/>
        <v>6</v>
      </c>
      <c r="G107" s="107">
        <f t="shared" si="32"/>
        <v>2</v>
      </c>
      <c r="H107" s="107">
        <f t="shared" si="33"/>
        <v>2</v>
      </c>
      <c r="I107" s="274">
        <f t="shared" si="34"/>
        <v>1.1733199999999999</v>
      </c>
      <c r="J107" s="274">
        <f t="shared" si="26"/>
        <v>1.1575199999999999</v>
      </c>
      <c r="K107" s="274">
        <f t="shared" si="27"/>
        <v>1.30772</v>
      </c>
      <c r="L107" s="204">
        <f t="shared" si="35"/>
        <v>4.2708848000000001</v>
      </c>
      <c r="M107" s="204">
        <f t="shared" si="28"/>
        <v>4.2133728000000001</v>
      </c>
      <c r="N107" s="204">
        <f t="shared" si="36"/>
        <v>4.7601008</v>
      </c>
    </row>
    <row r="108" spans="1:14" x14ac:dyDescent="0.25">
      <c r="A108" s="286">
        <v>12</v>
      </c>
      <c r="B108" s="272">
        <f>IF($L$3="m",'DATOS DE ENTRADA'!J120,'DATOS DE ENTRADA'!H120)</f>
        <v>72</v>
      </c>
      <c r="C108" s="273">
        <f t="shared" si="29"/>
        <v>72</v>
      </c>
      <c r="D108" s="273">
        <f t="shared" si="25"/>
        <v>72</v>
      </c>
      <c r="E108" s="273">
        <f t="shared" si="30"/>
        <v>72</v>
      </c>
      <c r="F108" s="107">
        <f t="shared" si="31"/>
        <v>8</v>
      </c>
      <c r="G108" s="107">
        <f t="shared" si="32"/>
        <v>2</v>
      </c>
      <c r="H108" s="107">
        <f t="shared" si="33"/>
        <v>2</v>
      </c>
      <c r="I108" s="274">
        <f t="shared" si="34"/>
        <v>1.2792399999999999</v>
      </c>
      <c r="J108" s="274">
        <f t="shared" si="26"/>
        <v>1.1575199999999999</v>
      </c>
      <c r="K108" s="274">
        <f t="shared" si="27"/>
        <v>1.30772</v>
      </c>
      <c r="L108" s="204">
        <f t="shared" si="35"/>
        <v>4.6564335999999997</v>
      </c>
      <c r="M108" s="204">
        <f t="shared" si="28"/>
        <v>4.2133728000000001</v>
      </c>
      <c r="N108" s="204">
        <f t="shared" si="36"/>
        <v>4.7601008</v>
      </c>
    </row>
    <row r="109" spans="1:14" x14ac:dyDescent="0.25">
      <c r="A109" s="286">
        <v>13</v>
      </c>
      <c r="B109" s="272">
        <f>IF($L$3="m",'DATOS DE ENTRADA'!J121,'DATOS DE ENTRADA'!H121)</f>
        <v>72</v>
      </c>
      <c r="C109" s="273">
        <f t="shared" si="29"/>
        <v>72</v>
      </c>
      <c r="D109" s="273">
        <f t="shared" si="25"/>
        <v>72</v>
      </c>
      <c r="E109" s="273">
        <f t="shared" si="30"/>
        <v>72</v>
      </c>
      <c r="F109" s="107">
        <f t="shared" si="31"/>
        <v>8</v>
      </c>
      <c r="G109" s="107">
        <f t="shared" si="32"/>
        <v>2</v>
      </c>
      <c r="H109" s="107">
        <f t="shared" si="33"/>
        <v>2</v>
      </c>
      <c r="I109" s="274">
        <f t="shared" si="34"/>
        <v>1.2792399999999999</v>
      </c>
      <c r="J109" s="274">
        <f t="shared" si="26"/>
        <v>1.1575199999999999</v>
      </c>
      <c r="K109" s="274">
        <f t="shared" si="27"/>
        <v>1.30772</v>
      </c>
      <c r="L109" s="204">
        <f t="shared" si="35"/>
        <v>4.6564335999999997</v>
      </c>
      <c r="M109" s="204">
        <f t="shared" si="28"/>
        <v>4.2133728000000001</v>
      </c>
      <c r="N109" s="204">
        <f t="shared" si="36"/>
        <v>4.7601008</v>
      </c>
    </row>
    <row r="110" spans="1:14" x14ac:dyDescent="0.25">
      <c r="A110" s="286">
        <v>14</v>
      </c>
      <c r="B110" s="272">
        <f>IF($L$3="m",'DATOS DE ENTRADA'!J122,'DATOS DE ENTRADA'!H122)</f>
        <v>72</v>
      </c>
      <c r="C110" s="273">
        <f t="shared" si="29"/>
        <v>72</v>
      </c>
      <c r="D110" s="273">
        <f t="shared" si="25"/>
        <v>72</v>
      </c>
      <c r="E110" s="273">
        <f t="shared" si="30"/>
        <v>72</v>
      </c>
      <c r="F110" s="107">
        <f t="shared" si="31"/>
        <v>8</v>
      </c>
      <c r="G110" s="107">
        <f t="shared" si="32"/>
        <v>2</v>
      </c>
      <c r="H110" s="107">
        <f t="shared" si="33"/>
        <v>2</v>
      </c>
      <c r="I110" s="274">
        <f t="shared" si="34"/>
        <v>1.2792399999999999</v>
      </c>
      <c r="J110" s="274">
        <f t="shared" si="26"/>
        <v>1.1575199999999999</v>
      </c>
      <c r="K110" s="274">
        <f t="shared" si="27"/>
        <v>1.30772</v>
      </c>
      <c r="L110" s="204">
        <f t="shared" si="35"/>
        <v>4.6564335999999997</v>
      </c>
      <c r="M110" s="204">
        <f t="shared" si="28"/>
        <v>4.2133728000000001</v>
      </c>
      <c r="N110" s="204">
        <f t="shared" si="36"/>
        <v>4.7601008</v>
      </c>
    </row>
    <row r="111" spans="1:14" x14ac:dyDescent="0.25">
      <c r="A111" s="286">
        <v>15</v>
      </c>
      <c r="B111" s="272">
        <f>IF($L$3="m",'DATOS DE ENTRADA'!J123,'DATOS DE ENTRADA'!H123)</f>
        <v>72</v>
      </c>
      <c r="C111" s="273">
        <f t="shared" si="29"/>
        <v>72</v>
      </c>
      <c r="D111" s="273">
        <f t="shared" si="25"/>
        <v>72</v>
      </c>
      <c r="E111" s="273">
        <f t="shared" si="30"/>
        <v>72</v>
      </c>
      <c r="F111" s="107">
        <f t="shared" si="31"/>
        <v>8</v>
      </c>
      <c r="G111" s="107">
        <f t="shared" si="32"/>
        <v>2</v>
      </c>
      <c r="H111" s="107">
        <f t="shared" si="33"/>
        <v>2</v>
      </c>
      <c r="I111" s="274">
        <f t="shared" si="34"/>
        <v>1.2792399999999999</v>
      </c>
      <c r="J111" s="274">
        <f t="shared" si="26"/>
        <v>1.1575199999999999</v>
      </c>
      <c r="K111" s="274">
        <f t="shared" si="27"/>
        <v>1.30772</v>
      </c>
      <c r="L111" s="204">
        <f t="shared" si="35"/>
        <v>4.6564335999999997</v>
      </c>
      <c r="M111" s="204">
        <f t="shared" si="28"/>
        <v>4.2133728000000001</v>
      </c>
      <c r="N111" s="204">
        <f t="shared" si="36"/>
        <v>4.7601008</v>
      </c>
    </row>
    <row r="112" spans="1:14" x14ac:dyDescent="0.25">
      <c r="A112" s="286">
        <v>16</v>
      </c>
      <c r="B112" s="272">
        <f>IF($L$3="m",'DATOS DE ENTRADA'!J124,'DATOS DE ENTRADA'!H124)</f>
        <v>72</v>
      </c>
      <c r="C112" s="273">
        <f t="shared" si="29"/>
        <v>72</v>
      </c>
      <c r="D112" s="273">
        <f t="shared" si="25"/>
        <v>72</v>
      </c>
      <c r="E112" s="273">
        <f t="shared" si="30"/>
        <v>72</v>
      </c>
      <c r="F112" s="107">
        <f t="shared" si="31"/>
        <v>8</v>
      </c>
      <c r="G112" s="107">
        <f t="shared" si="32"/>
        <v>2</v>
      </c>
      <c r="H112" s="107">
        <f t="shared" si="33"/>
        <v>2</v>
      </c>
      <c r="I112" s="274">
        <f t="shared" si="34"/>
        <v>1.2792399999999999</v>
      </c>
      <c r="J112" s="274">
        <f t="shared" si="26"/>
        <v>1.1575199999999999</v>
      </c>
      <c r="K112" s="274">
        <f t="shared" si="27"/>
        <v>1.30772</v>
      </c>
      <c r="L112" s="204">
        <f t="shared" si="35"/>
        <v>4.6564335999999997</v>
      </c>
      <c r="M112" s="204">
        <f t="shared" si="28"/>
        <v>4.2133728000000001</v>
      </c>
      <c r="N112" s="204">
        <f t="shared" si="36"/>
        <v>4.7601008</v>
      </c>
    </row>
    <row r="113" spans="1:14" x14ac:dyDescent="0.25">
      <c r="A113" s="286">
        <v>17</v>
      </c>
      <c r="B113" s="272">
        <f>IF($L$3="m",'DATOS DE ENTRADA'!J125,'DATOS DE ENTRADA'!H125)</f>
        <v>72</v>
      </c>
      <c r="C113" s="273">
        <f t="shared" si="29"/>
        <v>72</v>
      </c>
      <c r="D113" s="273">
        <f t="shared" si="25"/>
        <v>72</v>
      </c>
      <c r="E113" s="273">
        <f t="shared" si="30"/>
        <v>72</v>
      </c>
      <c r="F113" s="107">
        <f t="shared" si="31"/>
        <v>8</v>
      </c>
      <c r="G113" s="107">
        <f t="shared" si="32"/>
        <v>2</v>
      </c>
      <c r="H113" s="107">
        <f t="shared" si="33"/>
        <v>2</v>
      </c>
      <c r="I113" s="274">
        <f t="shared" si="34"/>
        <v>1.2792399999999999</v>
      </c>
      <c r="J113" s="274">
        <f t="shared" si="26"/>
        <v>1.1575199999999999</v>
      </c>
      <c r="K113" s="274">
        <f t="shared" si="27"/>
        <v>1.30772</v>
      </c>
      <c r="L113" s="204">
        <f t="shared" si="35"/>
        <v>4.6564335999999997</v>
      </c>
      <c r="M113" s="204">
        <f t="shared" si="28"/>
        <v>4.2133728000000001</v>
      </c>
      <c r="N113" s="204">
        <f t="shared" si="36"/>
        <v>4.7601008</v>
      </c>
    </row>
    <row r="114" spans="1:14" x14ac:dyDescent="0.25">
      <c r="A114" s="286">
        <v>18</v>
      </c>
      <c r="B114" s="272">
        <f>IF($L$3="m",'DATOS DE ENTRADA'!J126,'DATOS DE ENTRADA'!H126)</f>
        <v>72</v>
      </c>
      <c r="C114" s="273">
        <f t="shared" si="29"/>
        <v>72</v>
      </c>
      <c r="D114" s="273">
        <f t="shared" si="25"/>
        <v>72</v>
      </c>
      <c r="E114" s="273">
        <f t="shared" si="30"/>
        <v>72</v>
      </c>
      <c r="F114" s="107">
        <f t="shared" si="31"/>
        <v>8</v>
      </c>
      <c r="G114" s="107">
        <f t="shared" si="32"/>
        <v>2</v>
      </c>
      <c r="H114" s="107">
        <f t="shared" si="33"/>
        <v>2</v>
      </c>
      <c r="I114" s="274">
        <f t="shared" si="34"/>
        <v>1.2792399999999999</v>
      </c>
      <c r="J114" s="274">
        <f t="shared" si="26"/>
        <v>1.1575199999999999</v>
      </c>
      <c r="K114" s="274">
        <f t="shared" si="27"/>
        <v>1.30772</v>
      </c>
      <c r="L114" s="204">
        <f t="shared" si="35"/>
        <v>4.6564335999999997</v>
      </c>
      <c r="M114" s="204">
        <f t="shared" si="28"/>
        <v>4.2133728000000001</v>
      </c>
      <c r="N114" s="204">
        <f t="shared" si="36"/>
        <v>4.7601008</v>
      </c>
    </row>
    <row r="115" spans="1:14" x14ac:dyDescent="0.25">
      <c r="A115" s="286">
        <v>19</v>
      </c>
      <c r="B115" s="272">
        <f>IF($L$3="m",'DATOS DE ENTRADA'!J127,'DATOS DE ENTRADA'!H127)</f>
        <v>72</v>
      </c>
      <c r="C115" s="273">
        <f t="shared" si="29"/>
        <v>72</v>
      </c>
      <c r="D115" s="273">
        <f t="shared" si="25"/>
        <v>72</v>
      </c>
      <c r="E115" s="273">
        <f t="shared" si="30"/>
        <v>72</v>
      </c>
      <c r="F115" s="107">
        <f t="shared" si="31"/>
        <v>8</v>
      </c>
      <c r="G115" s="107">
        <f t="shared" si="32"/>
        <v>2</v>
      </c>
      <c r="H115" s="107">
        <f t="shared" si="33"/>
        <v>2</v>
      </c>
      <c r="I115" s="274">
        <f t="shared" si="34"/>
        <v>1.2792399999999999</v>
      </c>
      <c r="J115" s="274">
        <f t="shared" si="26"/>
        <v>1.1575199999999999</v>
      </c>
      <c r="K115" s="274">
        <f t="shared" si="27"/>
        <v>1.30772</v>
      </c>
      <c r="L115" s="204">
        <f t="shared" si="35"/>
        <v>4.6564335999999997</v>
      </c>
      <c r="M115" s="204">
        <f t="shared" si="28"/>
        <v>4.2133728000000001</v>
      </c>
      <c r="N115" s="204">
        <f t="shared" si="36"/>
        <v>4.7601008</v>
      </c>
    </row>
    <row r="116" spans="1:14" x14ac:dyDescent="0.25">
      <c r="A116" s="286">
        <v>20</v>
      </c>
      <c r="B116" s="272">
        <f>IF($L$3="m",'DATOS DE ENTRADA'!J128,'DATOS DE ENTRADA'!H128)</f>
        <v>72</v>
      </c>
      <c r="C116" s="273">
        <f t="shared" si="29"/>
        <v>72</v>
      </c>
      <c r="D116" s="273">
        <f t="shared" si="25"/>
        <v>72</v>
      </c>
      <c r="E116" s="273">
        <f t="shared" si="30"/>
        <v>72</v>
      </c>
      <c r="F116" s="107">
        <f t="shared" si="31"/>
        <v>8</v>
      </c>
      <c r="G116" s="107">
        <f t="shared" si="32"/>
        <v>2</v>
      </c>
      <c r="H116" s="107">
        <f t="shared" si="33"/>
        <v>2</v>
      </c>
      <c r="I116" s="274">
        <f t="shared" si="34"/>
        <v>1.2792399999999999</v>
      </c>
      <c r="J116" s="274">
        <f t="shared" si="26"/>
        <v>1.1575199999999999</v>
      </c>
      <c r="K116" s="274">
        <f t="shared" si="27"/>
        <v>1.30772</v>
      </c>
      <c r="L116" s="204">
        <f t="shared" si="35"/>
        <v>4.6564335999999997</v>
      </c>
      <c r="M116" s="204">
        <f t="shared" si="28"/>
        <v>4.2133728000000001</v>
      </c>
      <c r="N116" s="204">
        <f t="shared" si="36"/>
        <v>4.7601008</v>
      </c>
    </row>
    <row r="117" spans="1:14" x14ac:dyDescent="0.25">
      <c r="A117" s="286">
        <v>21</v>
      </c>
      <c r="B117" s="272">
        <f>IF($L$3="m",'DATOS DE ENTRADA'!J129,'DATOS DE ENTRADA'!H129)</f>
        <v>72</v>
      </c>
      <c r="C117" s="273">
        <f t="shared" si="29"/>
        <v>72</v>
      </c>
      <c r="D117" s="273">
        <f t="shared" si="25"/>
        <v>72</v>
      </c>
      <c r="E117" s="273">
        <f t="shared" si="30"/>
        <v>72</v>
      </c>
      <c r="F117" s="107">
        <f t="shared" si="31"/>
        <v>8</v>
      </c>
      <c r="G117" s="107">
        <f t="shared" si="32"/>
        <v>2</v>
      </c>
      <c r="H117" s="107">
        <f t="shared" si="33"/>
        <v>2</v>
      </c>
      <c r="I117" s="274">
        <f t="shared" si="34"/>
        <v>1.2792399999999999</v>
      </c>
      <c r="J117" s="274">
        <f t="shared" si="26"/>
        <v>1.1575199999999999</v>
      </c>
      <c r="K117" s="274">
        <f t="shared" si="27"/>
        <v>1.30772</v>
      </c>
      <c r="L117" s="204">
        <f t="shared" si="35"/>
        <v>4.6564335999999997</v>
      </c>
      <c r="M117" s="204">
        <f t="shared" si="28"/>
        <v>4.2133728000000001</v>
      </c>
      <c r="N117" s="204">
        <f t="shared" si="36"/>
        <v>4.7601008</v>
      </c>
    </row>
    <row r="118" spans="1:14" x14ac:dyDescent="0.25">
      <c r="A118" s="286">
        <v>22</v>
      </c>
      <c r="B118" s="272">
        <f>IF($L$3="m",'DATOS DE ENTRADA'!J130,'DATOS DE ENTRADA'!H130)</f>
        <v>72</v>
      </c>
      <c r="C118" s="273">
        <f t="shared" si="29"/>
        <v>72</v>
      </c>
      <c r="D118" s="273">
        <f t="shared" si="25"/>
        <v>72</v>
      </c>
      <c r="E118" s="273">
        <f t="shared" si="30"/>
        <v>72</v>
      </c>
      <c r="F118" s="107">
        <f t="shared" si="31"/>
        <v>8</v>
      </c>
      <c r="G118" s="107">
        <f t="shared" si="32"/>
        <v>2</v>
      </c>
      <c r="H118" s="107">
        <f t="shared" si="33"/>
        <v>2</v>
      </c>
      <c r="I118" s="274">
        <f t="shared" si="34"/>
        <v>1.2792399999999999</v>
      </c>
      <c r="J118" s="274">
        <f t="shared" si="26"/>
        <v>1.1575199999999999</v>
      </c>
      <c r="K118" s="274">
        <f t="shared" si="27"/>
        <v>1.30772</v>
      </c>
      <c r="L118" s="204">
        <f t="shared" si="35"/>
        <v>4.6564335999999997</v>
      </c>
      <c r="M118" s="204">
        <f t="shared" si="28"/>
        <v>4.2133728000000001</v>
      </c>
      <c r="N118" s="204">
        <f t="shared" si="36"/>
        <v>4.7601008</v>
      </c>
    </row>
    <row r="119" spans="1:14" x14ac:dyDescent="0.25">
      <c r="A119" s="286">
        <v>23</v>
      </c>
      <c r="B119" s="272">
        <f>IF($L$3="m",'DATOS DE ENTRADA'!J131,'DATOS DE ENTRADA'!H131)</f>
        <v>72</v>
      </c>
      <c r="C119" s="273">
        <f t="shared" si="29"/>
        <v>72</v>
      </c>
      <c r="D119" s="273">
        <f t="shared" si="25"/>
        <v>72</v>
      </c>
      <c r="E119" s="273">
        <f t="shared" si="30"/>
        <v>72</v>
      </c>
      <c r="F119" s="107">
        <f t="shared" si="31"/>
        <v>8</v>
      </c>
      <c r="G119" s="107">
        <f t="shared" si="32"/>
        <v>2</v>
      </c>
      <c r="H119" s="107">
        <f t="shared" si="33"/>
        <v>2</v>
      </c>
      <c r="I119" s="274">
        <f t="shared" si="34"/>
        <v>1.2792399999999999</v>
      </c>
      <c r="J119" s="274">
        <f t="shared" si="26"/>
        <v>1.1575199999999999</v>
      </c>
      <c r="K119" s="274">
        <f t="shared" si="27"/>
        <v>1.30772</v>
      </c>
      <c r="L119" s="204">
        <f t="shared" si="35"/>
        <v>4.6564335999999997</v>
      </c>
      <c r="M119" s="204">
        <f t="shared" si="28"/>
        <v>4.2133728000000001</v>
      </c>
      <c r="N119" s="204">
        <f t="shared" si="36"/>
        <v>4.7601008</v>
      </c>
    </row>
    <row r="120" spans="1:14" x14ac:dyDescent="0.25">
      <c r="A120" s="286">
        <v>24</v>
      </c>
      <c r="B120" s="272">
        <f>IF($L$3="m",'DATOS DE ENTRADA'!J132,'DATOS DE ENTRADA'!H132)</f>
        <v>72</v>
      </c>
      <c r="C120" s="273">
        <f t="shared" si="29"/>
        <v>72</v>
      </c>
      <c r="D120" s="273">
        <f t="shared" si="25"/>
        <v>72</v>
      </c>
      <c r="E120" s="273">
        <f t="shared" si="30"/>
        <v>72</v>
      </c>
      <c r="F120" s="107">
        <f t="shared" si="31"/>
        <v>8</v>
      </c>
      <c r="G120" s="107">
        <f t="shared" si="32"/>
        <v>2</v>
      </c>
      <c r="H120" s="107">
        <f t="shared" si="33"/>
        <v>2</v>
      </c>
      <c r="I120" s="274">
        <f t="shared" si="34"/>
        <v>1.2792399999999999</v>
      </c>
      <c r="J120" s="274">
        <f t="shared" si="26"/>
        <v>1.1575199999999999</v>
      </c>
      <c r="K120" s="274">
        <f t="shared" si="27"/>
        <v>1.30772</v>
      </c>
      <c r="L120" s="204">
        <f t="shared" si="35"/>
        <v>4.6564335999999997</v>
      </c>
      <c r="M120" s="204">
        <f t="shared" si="28"/>
        <v>4.2133728000000001</v>
      </c>
      <c r="N120" s="204">
        <f t="shared" si="36"/>
        <v>4.7601008</v>
      </c>
    </row>
    <row r="121" spans="1:14" x14ac:dyDescent="0.25">
      <c r="A121" s="286">
        <v>25</v>
      </c>
      <c r="B121" s="272">
        <f>IF($L$3="m",'DATOS DE ENTRADA'!J133,'DATOS DE ENTRADA'!H133)</f>
        <v>72</v>
      </c>
      <c r="C121" s="273">
        <f t="shared" si="29"/>
        <v>72</v>
      </c>
      <c r="D121" s="273">
        <f t="shared" si="25"/>
        <v>72</v>
      </c>
      <c r="E121" s="273">
        <f t="shared" si="30"/>
        <v>72</v>
      </c>
      <c r="F121" s="107">
        <f t="shared" si="31"/>
        <v>8</v>
      </c>
      <c r="G121" s="107">
        <f t="shared" si="32"/>
        <v>2</v>
      </c>
      <c r="H121" s="107">
        <f t="shared" si="33"/>
        <v>2</v>
      </c>
      <c r="I121" s="274">
        <f t="shared" si="34"/>
        <v>1.2792399999999999</v>
      </c>
      <c r="J121" s="274">
        <f t="shared" si="26"/>
        <v>1.1575199999999999</v>
      </c>
      <c r="K121" s="274">
        <f t="shared" si="27"/>
        <v>1.30772</v>
      </c>
      <c r="L121" s="204">
        <f t="shared" si="35"/>
        <v>4.6564335999999997</v>
      </c>
      <c r="M121" s="204">
        <f t="shared" si="28"/>
        <v>4.2133728000000001</v>
      </c>
      <c r="N121" s="204">
        <f t="shared" si="36"/>
        <v>4.7601008</v>
      </c>
    </row>
    <row r="122" spans="1:14" x14ac:dyDescent="0.25">
      <c r="A122" s="286">
        <v>26</v>
      </c>
      <c r="B122" s="272">
        <f>IF($L$3="m",'DATOS DE ENTRADA'!J134,'DATOS DE ENTRADA'!H134)</f>
        <v>72</v>
      </c>
      <c r="C122" s="273">
        <f t="shared" si="29"/>
        <v>72</v>
      </c>
      <c r="D122" s="273">
        <f t="shared" si="25"/>
        <v>72</v>
      </c>
      <c r="E122" s="273">
        <f t="shared" si="30"/>
        <v>72</v>
      </c>
      <c r="F122" s="107">
        <f t="shared" si="31"/>
        <v>8</v>
      </c>
      <c r="G122" s="107">
        <f t="shared" si="32"/>
        <v>2</v>
      </c>
      <c r="H122" s="107">
        <f t="shared" si="33"/>
        <v>2</v>
      </c>
      <c r="I122" s="274">
        <f t="shared" si="34"/>
        <v>1.2792399999999999</v>
      </c>
      <c r="J122" s="274">
        <f t="shared" si="26"/>
        <v>1.1575199999999999</v>
      </c>
      <c r="K122" s="274">
        <f t="shared" si="27"/>
        <v>1.30772</v>
      </c>
      <c r="L122" s="204">
        <f t="shared" si="35"/>
        <v>4.6564335999999997</v>
      </c>
      <c r="M122" s="204">
        <f t="shared" si="28"/>
        <v>4.2133728000000001</v>
      </c>
      <c r="N122" s="204">
        <f t="shared" si="36"/>
        <v>4.7601008</v>
      </c>
    </row>
    <row r="123" spans="1:14" x14ac:dyDescent="0.25">
      <c r="A123" s="286">
        <v>27</v>
      </c>
      <c r="B123" s="272">
        <f>IF($L$3="m",'DATOS DE ENTRADA'!J135,'DATOS DE ENTRADA'!H135)</f>
        <v>72</v>
      </c>
      <c r="C123" s="273">
        <f t="shared" si="29"/>
        <v>72</v>
      </c>
      <c r="D123" s="273">
        <f t="shared" si="25"/>
        <v>72</v>
      </c>
      <c r="E123" s="273">
        <f t="shared" si="30"/>
        <v>72</v>
      </c>
      <c r="F123" s="107">
        <f t="shared" si="31"/>
        <v>8</v>
      </c>
      <c r="G123" s="107">
        <f t="shared" si="32"/>
        <v>2</v>
      </c>
      <c r="H123" s="107">
        <f t="shared" si="33"/>
        <v>2</v>
      </c>
      <c r="I123" s="274">
        <f t="shared" si="34"/>
        <v>1.2792399999999999</v>
      </c>
      <c r="J123" s="274">
        <f t="shared" si="26"/>
        <v>1.1575199999999999</v>
      </c>
      <c r="K123" s="274">
        <f t="shared" si="27"/>
        <v>1.30772</v>
      </c>
      <c r="L123" s="204">
        <f t="shared" si="35"/>
        <v>4.6564335999999997</v>
      </c>
      <c r="M123" s="204">
        <f t="shared" si="28"/>
        <v>4.2133728000000001</v>
      </c>
      <c r="N123" s="204">
        <f t="shared" si="36"/>
        <v>4.7601008</v>
      </c>
    </row>
    <row r="124" spans="1:14" x14ac:dyDescent="0.25">
      <c r="A124" s="286">
        <v>28</v>
      </c>
      <c r="B124" s="272">
        <f>IF($L$3="m",'DATOS DE ENTRADA'!J136,'DATOS DE ENTRADA'!H136)</f>
        <v>72</v>
      </c>
      <c r="C124" s="273">
        <f t="shared" si="29"/>
        <v>72</v>
      </c>
      <c r="D124" s="273">
        <f t="shared" si="25"/>
        <v>72</v>
      </c>
      <c r="E124" s="273">
        <f t="shared" si="30"/>
        <v>72</v>
      </c>
      <c r="F124" s="107">
        <f t="shared" si="31"/>
        <v>8</v>
      </c>
      <c r="G124" s="107">
        <f t="shared" si="32"/>
        <v>2</v>
      </c>
      <c r="H124" s="107">
        <f t="shared" si="33"/>
        <v>2</v>
      </c>
      <c r="I124" s="274">
        <f t="shared" si="34"/>
        <v>1.2792399999999999</v>
      </c>
      <c r="J124" s="274">
        <f t="shared" si="26"/>
        <v>1.1575199999999999</v>
      </c>
      <c r="K124" s="274">
        <f t="shared" si="27"/>
        <v>1.30772</v>
      </c>
      <c r="L124" s="204">
        <f t="shared" si="35"/>
        <v>4.6564335999999997</v>
      </c>
      <c r="M124" s="204">
        <f t="shared" si="28"/>
        <v>4.2133728000000001</v>
      </c>
      <c r="N124" s="204">
        <f t="shared" si="36"/>
        <v>4.7601008</v>
      </c>
    </row>
    <row r="125" spans="1:14" x14ac:dyDescent="0.25">
      <c r="A125" s="286">
        <v>29</v>
      </c>
      <c r="B125" s="272">
        <f>IF($L$3="m",'DATOS DE ENTRADA'!J137,'DATOS DE ENTRADA'!H137)</f>
        <v>72</v>
      </c>
      <c r="C125" s="273">
        <f t="shared" si="29"/>
        <v>72</v>
      </c>
      <c r="D125" s="273">
        <f t="shared" si="25"/>
        <v>72</v>
      </c>
      <c r="E125" s="273">
        <f t="shared" si="30"/>
        <v>72</v>
      </c>
      <c r="F125" s="107">
        <f t="shared" si="31"/>
        <v>8</v>
      </c>
      <c r="G125" s="107">
        <f t="shared" si="32"/>
        <v>2</v>
      </c>
      <c r="H125" s="107">
        <f t="shared" si="33"/>
        <v>2</v>
      </c>
      <c r="I125" s="274">
        <f t="shared" si="34"/>
        <v>1.2792399999999999</v>
      </c>
      <c r="J125" s="274">
        <f t="shared" si="26"/>
        <v>1.1575199999999999</v>
      </c>
      <c r="K125" s="274">
        <f t="shared" si="27"/>
        <v>1.30772</v>
      </c>
      <c r="L125" s="204">
        <f t="shared" si="35"/>
        <v>4.6564335999999997</v>
      </c>
      <c r="M125" s="204">
        <f t="shared" si="28"/>
        <v>4.2133728000000001</v>
      </c>
      <c r="N125" s="204">
        <f t="shared" si="36"/>
        <v>4.7601008</v>
      </c>
    </row>
    <row r="126" spans="1:14" x14ac:dyDescent="0.25">
      <c r="A126" s="286">
        <v>30</v>
      </c>
      <c r="B126" s="272">
        <f>IF($L$3="m",'DATOS DE ENTRADA'!J138,'DATOS DE ENTRADA'!H138)</f>
        <v>72</v>
      </c>
      <c r="C126" s="273">
        <f t="shared" si="29"/>
        <v>72</v>
      </c>
      <c r="D126" s="273">
        <f t="shared" si="25"/>
        <v>72</v>
      </c>
      <c r="E126" s="273">
        <f t="shared" si="30"/>
        <v>72</v>
      </c>
      <c r="F126" s="107">
        <f t="shared" si="31"/>
        <v>8</v>
      </c>
      <c r="G126" s="107">
        <f t="shared" si="32"/>
        <v>2</v>
      </c>
      <c r="H126" s="107">
        <f t="shared" si="33"/>
        <v>2</v>
      </c>
      <c r="I126" s="274">
        <f t="shared" si="34"/>
        <v>1.2792399999999999</v>
      </c>
      <c r="J126" s="274">
        <f t="shared" si="26"/>
        <v>1.1575199999999999</v>
      </c>
      <c r="K126" s="274">
        <f t="shared" si="27"/>
        <v>1.30772</v>
      </c>
      <c r="L126" s="204">
        <f t="shared" si="35"/>
        <v>4.6564335999999997</v>
      </c>
      <c r="M126" s="204">
        <f t="shared" si="28"/>
        <v>4.2133728000000001</v>
      </c>
      <c r="N126" s="204">
        <f t="shared" si="36"/>
        <v>4.7601008</v>
      </c>
    </row>
    <row r="127" spans="1:14" x14ac:dyDescent="0.25">
      <c r="A127" s="286">
        <v>31</v>
      </c>
      <c r="B127" s="272">
        <f>IF($L$3="m",'DATOS DE ENTRADA'!J139,'DATOS DE ENTRADA'!H139)</f>
        <v>72</v>
      </c>
      <c r="C127" s="273">
        <f t="shared" si="29"/>
        <v>72</v>
      </c>
      <c r="D127" s="273">
        <f>C127</f>
        <v>72</v>
      </c>
      <c r="E127" s="273">
        <f>D127</f>
        <v>72</v>
      </c>
      <c r="F127" s="107">
        <f t="shared" si="31"/>
        <v>8</v>
      </c>
      <c r="G127" s="107">
        <f t="shared" si="32"/>
        <v>2</v>
      </c>
      <c r="H127" s="107">
        <f t="shared" si="33"/>
        <v>2</v>
      </c>
      <c r="I127" s="274">
        <f>0.00002*(F127)^3+0.003*(F127)^2+0.008*(F127)+1.013</f>
        <v>1.2792399999999999</v>
      </c>
      <c r="J127" s="274">
        <f>-0.00006*(G127)^3+0.004*(G127)^2-0.002*(G127)+1.146</f>
        <v>1.1575199999999999</v>
      </c>
      <c r="K127" s="274">
        <f>0.00009*(H127)^3+0.001*(H127)^2+0.02*(H127)+1.263</f>
        <v>1.30772</v>
      </c>
      <c r="L127" s="204">
        <f t="shared" ref="L127:N128" si="37">$B$19*I127</f>
        <v>4.6564335999999997</v>
      </c>
      <c r="M127" s="204">
        <f t="shared" si="37"/>
        <v>4.2133728000000001</v>
      </c>
      <c r="N127" s="204">
        <f t="shared" si="37"/>
        <v>4.7601008</v>
      </c>
    </row>
    <row r="128" spans="1:14" x14ac:dyDescent="0.25">
      <c r="A128" s="286">
        <v>32</v>
      </c>
      <c r="B128" s="272">
        <f>IF($L$3="m",'DATOS DE ENTRADA'!J140,'DATOS DE ENTRADA'!H140)</f>
        <v>72</v>
      </c>
      <c r="C128" s="273">
        <f t="shared" si="29"/>
        <v>72</v>
      </c>
      <c r="D128" s="273">
        <f>C128</f>
        <v>72</v>
      </c>
      <c r="E128" s="273">
        <f>D128</f>
        <v>72</v>
      </c>
      <c r="F128" s="107">
        <f t="shared" si="31"/>
        <v>8</v>
      </c>
      <c r="G128" s="107">
        <f t="shared" si="32"/>
        <v>2</v>
      </c>
      <c r="H128" s="107">
        <f t="shared" si="33"/>
        <v>2</v>
      </c>
      <c r="I128" s="274">
        <f>0.00002*(F128)^3+0.003*(F128)^2+0.008*(F128)+1.013</f>
        <v>1.2792399999999999</v>
      </c>
      <c r="J128" s="274">
        <f>-0.00006*(G128)^3+0.004*(G128)^2-0.002*(G128)+1.146</f>
        <v>1.1575199999999999</v>
      </c>
      <c r="K128" s="274">
        <f>0.00009*(H128)^3+0.001*(H128)^2+0.02*(H128)+1.263</f>
        <v>1.30772</v>
      </c>
      <c r="L128" s="204">
        <f t="shared" si="37"/>
        <v>4.6564335999999997</v>
      </c>
      <c r="M128" s="204">
        <f t="shared" si="37"/>
        <v>4.2133728000000001</v>
      </c>
      <c r="N128" s="204">
        <f t="shared" si="37"/>
        <v>4.7601008</v>
      </c>
    </row>
    <row r="130" spans="1:15" x14ac:dyDescent="0.25">
      <c r="A130" s="239" t="s">
        <v>244</v>
      </c>
      <c r="B130" s="239"/>
      <c r="C130" s="239"/>
      <c r="D130" s="239"/>
      <c r="E130" s="239"/>
      <c r="F130" s="239"/>
      <c r="G130" s="19"/>
      <c r="I130" s="239" t="s">
        <v>248</v>
      </c>
      <c r="J130" s="239"/>
      <c r="K130" s="239"/>
      <c r="L130" s="239"/>
      <c r="M130" s="239"/>
      <c r="N130" s="239"/>
      <c r="O130" s="19"/>
    </row>
    <row r="131" spans="1:15" x14ac:dyDescent="0.25">
      <c r="A131" t="s">
        <v>243</v>
      </c>
      <c r="F131" s="239" t="s">
        <v>247</v>
      </c>
      <c r="G131" s="239">
        <f>'DATOS DE ENTRADA'!$C$7</f>
        <v>70</v>
      </c>
      <c r="I131" t="s">
        <v>243</v>
      </c>
      <c r="N131" s="239" t="s">
        <v>247</v>
      </c>
      <c r="O131" s="239">
        <f>'DATOS DE ENTRADA'!$C$23</f>
        <v>70</v>
      </c>
    </row>
    <row r="132" spans="1:15" x14ac:dyDescent="0.25">
      <c r="C132" s="569" t="s">
        <v>246</v>
      </c>
      <c r="D132" s="569"/>
      <c r="E132" s="569"/>
      <c r="K132" s="569" t="s">
        <v>246</v>
      </c>
      <c r="L132" s="569"/>
      <c r="M132" s="569"/>
    </row>
    <row r="133" spans="1:15" x14ac:dyDescent="0.25">
      <c r="A133" s="43" t="s">
        <v>18</v>
      </c>
      <c r="B133" s="43" t="s">
        <v>245</v>
      </c>
      <c r="C133" s="298" t="s">
        <v>233</v>
      </c>
      <c r="D133" s="298" t="s">
        <v>234</v>
      </c>
      <c r="E133" s="298" t="s">
        <v>235</v>
      </c>
      <c r="I133" s="43" t="s">
        <v>18</v>
      </c>
      <c r="J133" s="43" t="s">
        <v>245</v>
      </c>
      <c r="K133" s="298" t="s">
        <v>233</v>
      </c>
      <c r="L133" s="298" t="s">
        <v>234</v>
      </c>
      <c r="M133" s="298" t="s">
        <v>235</v>
      </c>
    </row>
    <row r="134" spans="1:15" x14ac:dyDescent="0.25">
      <c r="A134" s="43">
        <v>0</v>
      </c>
      <c r="B134" s="200">
        <f>'N CARRILES HCM'!C3</f>
        <v>3595.5</v>
      </c>
      <c r="C134" s="95">
        <f>B134*L22*365*$G$131</f>
        <v>365914856.78748</v>
      </c>
      <c r="D134" s="95">
        <f t="shared" ref="D134:D166" si="38">B134*M22*365*$G$131</f>
        <v>387061597.60631996</v>
      </c>
      <c r="E134" s="95">
        <f t="shared" ref="E134:E166" si="39">B134*N22*365*$G$131</f>
        <v>437286778.99452001</v>
      </c>
      <c r="I134" s="43">
        <v>0</v>
      </c>
      <c r="J134" s="200">
        <f>'N CARRILES HCM'!C40</f>
        <v>3595.5</v>
      </c>
      <c r="K134" s="95">
        <f t="shared" ref="K134:K166" si="40">J134*L59*365*$O$131</f>
        <v>348152129.52156001</v>
      </c>
      <c r="L134" s="95">
        <f t="shared" ref="L134:L166" si="41">J134*M59*365*$O$131</f>
        <v>387061597.60631996</v>
      </c>
      <c r="M134" s="95">
        <f t="shared" ref="M134:M166" si="42">J134*N59*365*$O$131</f>
        <v>437286778.99452001</v>
      </c>
    </row>
    <row r="135" spans="1:15" x14ac:dyDescent="0.25">
      <c r="A135" s="43">
        <v>1</v>
      </c>
      <c r="B135" s="200">
        <f>'N CARRILES HCM'!C4</f>
        <v>3703.3650000000002</v>
      </c>
      <c r="C135" s="95">
        <f>B135*L23*365*$G$131</f>
        <v>376892302.49110442</v>
      </c>
      <c r="D135" s="95">
        <f t="shared" si="38"/>
        <v>398673445.53450966</v>
      </c>
      <c r="E135" s="95">
        <f t="shared" si="39"/>
        <v>450405382.36435562</v>
      </c>
      <c r="I135" s="43">
        <v>1</v>
      </c>
      <c r="J135" s="200">
        <f>'N CARRILES HCM'!C41</f>
        <v>3703.3650000000002</v>
      </c>
      <c r="K135" s="95">
        <f t="shared" si="40"/>
        <v>358596693.40720683</v>
      </c>
      <c r="L135" s="95">
        <f t="shared" si="41"/>
        <v>398673445.53450966</v>
      </c>
      <c r="M135" s="95">
        <f t="shared" si="42"/>
        <v>450405382.36435562</v>
      </c>
    </row>
    <row r="136" spans="1:15" x14ac:dyDescent="0.25">
      <c r="A136" s="43">
        <v>2</v>
      </c>
      <c r="B136" s="200">
        <f>'N CARRILES HCM'!C5</f>
        <v>3814.4659499999998</v>
      </c>
      <c r="C136" s="95">
        <f t="shared" ref="C136:C166" si="43">B136*L24*365*$G$131</f>
        <v>388199071.5658375</v>
      </c>
      <c r="D136" s="95">
        <f t="shared" si="38"/>
        <v>410633648.90054488</v>
      </c>
      <c r="E136" s="95">
        <f t="shared" si="39"/>
        <v>463917543.83528626</v>
      </c>
      <c r="I136" s="43">
        <v>2</v>
      </c>
      <c r="J136" s="200">
        <f>'N CARRILES HCM'!C42</f>
        <v>3814.4659499999998</v>
      </c>
      <c r="K136" s="95">
        <f t="shared" si="40"/>
        <v>369354594.20942295</v>
      </c>
      <c r="L136" s="95">
        <f t="shared" si="41"/>
        <v>410633648.90054488</v>
      </c>
      <c r="M136" s="95">
        <f t="shared" si="42"/>
        <v>463917543.83528626</v>
      </c>
    </row>
    <row r="137" spans="1:15" x14ac:dyDescent="0.25">
      <c r="A137" s="43">
        <v>3</v>
      </c>
      <c r="B137" s="200">
        <f>'N CARRILES HCM'!C6</f>
        <v>3928.8999285</v>
      </c>
      <c r="C137" s="95">
        <f t="shared" si="43"/>
        <v>399845043.7128126</v>
      </c>
      <c r="D137" s="95">
        <f t="shared" si="38"/>
        <v>422952658.36756122</v>
      </c>
      <c r="E137" s="95">
        <f t="shared" si="39"/>
        <v>477835070.15034491</v>
      </c>
      <c r="I137" s="43">
        <v>3</v>
      </c>
      <c r="J137" s="200">
        <f>'N CARRILES HCM'!C43</f>
        <v>3928.8999285</v>
      </c>
      <c r="K137" s="95">
        <f t="shared" si="40"/>
        <v>380435232.03570569</v>
      </c>
      <c r="L137" s="95">
        <f t="shared" si="41"/>
        <v>422952658.36756122</v>
      </c>
      <c r="M137" s="95">
        <f t="shared" si="42"/>
        <v>477835070.15034491</v>
      </c>
    </row>
    <row r="138" spans="1:15" x14ac:dyDescent="0.25">
      <c r="A138" s="43">
        <v>4</v>
      </c>
      <c r="B138" s="200">
        <f>'N CARRILES HCM'!C7</f>
        <v>4046.7669263549997</v>
      </c>
      <c r="C138" s="95">
        <f t="shared" si="43"/>
        <v>411840395.02419698</v>
      </c>
      <c r="D138" s="95">
        <f t="shared" si="38"/>
        <v>435641238.11858809</v>
      </c>
      <c r="E138" s="95">
        <f t="shared" si="39"/>
        <v>492170122.2548551</v>
      </c>
      <c r="I138" s="43">
        <v>4</v>
      </c>
      <c r="J138" s="200">
        <f>'N CARRILES HCM'!C44</f>
        <v>4046.7669263549997</v>
      </c>
      <c r="K138" s="95">
        <f t="shared" si="40"/>
        <v>391848288.99677682</v>
      </c>
      <c r="L138" s="95">
        <f t="shared" si="41"/>
        <v>435641238.11858809</v>
      </c>
      <c r="M138" s="95">
        <f t="shared" si="42"/>
        <v>492170122.2548551</v>
      </c>
    </row>
    <row r="139" spans="1:15" x14ac:dyDescent="0.25">
      <c r="A139" s="43">
        <v>5</v>
      </c>
      <c r="B139" s="200">
        <f>'N CARRILES HCM'!C8</f>
        <v>4168.1699341456497</v>
      </c>
      <c r="C139" s="95">
        <f t="shared" si="43"/>
        <v>424195606.87492293</v>
      </c>
      <c r="D139" s="95">
        <f t="shared" si="38"/>
        <v>448710475.26214576</v>
      </c>
      <c r="E139" s="95">
        <f t="shared" si="39"/>
        <v>506935225.92250079</v>
      </c>
      <c r="I139" s="43">
        <v>5</v>
      </c>
      <c r="J139" s="200">
        <f>'N CARRILES HCM'!C45</f>
        <v>4168.1699341456497</v>
      </c>
      <c r="K139" s="95">
        <f t="shared" si="40"/>
        <v>403603737.6666801</v>
      </c>
      <c r="L139" s="95">
        <f t="shared" si="41"/>
        <v>448710475.26214576</v>
      </c>
      <c r="M139" s="95">
        <f t="shared" si="42"/>
        <v>506935225.92250079</v>
      </c>
    </row>
    <row r="140" spans="1:15" x14ac:dyDescent="0.25">
      <c r="A140" s="43">
        <v>6</v>
      </c>
      <c r="B140" s="200">
        <f>'N CARRILES HCM'!C9</f>
        <v>4293.2150321700192</v>
      </c>
      <c r="C140" s="95">
        <f t="shared" si="43"/>
        <v>436921475.08117062</v>
      </c>
      <c r="D140" s="95">
        <f t="shared" si="38"/>
        <v>462171789.52001005</v>
      </c>
      <c r="E140" s="95">
        <f t="shared" si="39"/>
        <v>522143282.70017588</v>
      </c>
      <c r="I140" s="43">
        <v>6</v>
      </c>
      <c r="J140" s="200">
        <f>'N CARRILES HCM'!C46</f>
        <v>4293.2150321700192</v>
      </c>
      <c r="K140" s="95">
        <f t="shared" si="40"/>
        <v>415711849.79668051</v>
      </c>
      <c r="L140" s="95">
        <f t="shared" si="41"/>
        <v>462171789.52001005</v>
      </c>
      <c r="M140" s="95">
        <f t="shared" si="42"/>
        <v>522143282.70017588</v>
      </c>
    </row>
    <row r="141" spans="1:15" x14ac:dyDescent="0.25">
      <c r="A141" s="43">
        <v>7</v>
      </c>
      <c r="B141" s="200">
        <f>'N CARRILES HCM'!C10</f>
        <v>4422.0114831351202</v>
      </c>
      <c r="C141" s="95">
        <f t="shared" si="43"/>
        <v>450029119.33360571</v>
      </c>
      <c r="D141" s="95">
        <f t="shared" si="38"/>
        <v>476036943.20561039</v>
      </c>
      <c r="E141" s="95">
        <f t="shared" si="39"/>
        <v>537807581.18118119</v>
      </c>
      <c r="I141" s="43">
        <v>7</v>
      </c>
      <c r="J141" s="200">
        <f>'N CARRILES HCM'!C47</f>
        <v>4422.0114831351202</v>
      </c>
      <c r="K141" s="95">
        <f t="shared" si="40"/>
        <v>428183205.29058099</v>
      </c>
      <c r="L141" s="95">
        <f t="shared" si="41"/>
        <v>476036943.20561039</v>
      </c>
      <c r="M141" s="95">
        <f t="shared" si="42"/>
        <v>537807581.18118119</v>
      </c>
    </row>
    <row r="142" spans="1:15" x14ac:dyDescent="0.25">
      <c r="A142" s="43">
        <v>8</v>
      </c>
      <c r="B142" s="200">
        <f>'N CARRILES HCM'!C11</f>
        <v>4554.6718276291731</v>
      </c>
      <c r="C142" s="95">
        <f t="shared" si="43"/>
        <v>463529992.91361386</v>
      </c>
      <c r="D142" s="95">
        <f t="shared" si="38"/>
        <v>490318051.50177866</v>
      </c>
      <c r="E142" s="95">
        <f t="shared" si="39"/>
        <v>553941808.61661649</v>
      </c>
      <c r="I142" s="43">
        <v>8</v>
      </c>
      <c r="J142" s="200">
        <f>'N CARRILES HCM'!C48</f>
        <v>4554.6718276291731</v>
      </c>
      <c r="K142" s="95">
        <f t="shared" si="40"/>
        <v>441028701.44929838</v>
      </c>
      <c r="L142" s="95">
        <f t="shared" si="41"/>
        <v>490318051.50177866</v>
      </c>
      <c r="M142" s="95">
        <f t="shared" si="42"/>
        <v>553941808.61661649</v>
      </c>
    </row>
    <row r="143" spans="1:15" x14ac:dyDescent="0.25">
      <c r="A143" s="43">
        <v>9</v>
      </c>
      <c r="B143" s="200">
        <f>'N CARRILES HCM'!C12</f>
        <v>4691.3119824580481</v>
      </c>
      <c r="C143" s="95">
        <f t="shared" si="43"/>
        <v>477435892.70102221</v>
      </c>
      <c r="D143" s="95">
        <f t="shared" si="38"/>
        <v>505027593.04683197</v>
      </c>
      <c r="E143" s="95">
        <f t="shared" si="39"/>
        <v>570560062.87511492</v>
      </c>
      <c r="I143" s="43">
        <v>9</v>
      </c>
      <c r="J143" s="200">
        <f>'N CARRILES HCM'!C49</f>
        <v>4691.3119824580481</v>
      </c>
      <c r="K143" s="95">
        <f t="shared" si="40"/>
        <v>454259562.49277729</v>
      </c>
      <c r="L143" s="95">
        <f t="shared" si="41"/>
        <v>505027593.04683197</v>
      </c>
      <c r="M143" s="95">
        <f t="shared" si="42"/>
        <v>570560062.87511492</v>
      </c>
    </row>
    <row r="144" spans="1:15" x14ac:dyDescent="0.25">
      <c r="A144" s="43">
        <v>10</v>
      </c>
      <c r="B144" s="200">
        <f>'N CARRILES HCM'!C13</f>
        <v>4832.0513419317895</v>
      </c>
      <c r="C144" s="95">
        <f t="shared" si="43"/>
        <v>491758969.48205298</v>
      </c>
      <c r="D144" s="95">
        <f t="shared" si="38"/>
        <v>520178420.83823693</v>
      </c>
      <c r="E144" s="95">
        <f t="shared" si="39"/>
        <v>587676864.76136839</v>
      </c>
      <c r="I144" s="43">
        <v>10</v>
      </c>
      <c r="J144" s="200">
        <f>'N CARRILES HCM'!C50</f>
        <v>4832.0513419317895</v>
      </c>
      <c r="K144" s="95">
        <f t="shared" si="40"/>
        <v>467887349.36756057</v>
      </c>
      <c r="L144" s="95">
        <f t="shared" si="41"/>
        <v>520178420.83823693</v>
      </c>
      <c r="M144" s="95">
        <f t="shared" si="42"/>
        <v>587676864.76136839</v>
      </c>
    </row>
    <row r="145" spans="1:13" x14ac:dyDescent="0.25">
      <c r="A145" s="43">
        <v>11</v>
      </c>
      <c r="B145" s="200">
        <f>'N CARRILES HCM'!C14</f>
        <v>4977.0128821897433</v>
      </c>
      <c r="C145" s="95">
        <f t="shared" si="43"/>
        <v>506511738.56651449</v>
      </c>
      <c r="D145" s="95">
        <f t="shared" si="38"/>
        <v>535783773.46338403</v>
      </c>
      <c r="E145" s="95">
        <f t="shared" si="39"/>
        <v>605307170.70420957</v>
      </c>
      <c r="I145" s="43">
        <v>11</v>
      </c>
      <c r="J145" s="200">
        <f>'N CARRILES HCM'!C51</f>
        <v>4977.0128821897433</v>
      </c>
      <c r="K145" s="95">
        <f t="shared" si="40"/>
        <v>481923969.84858739</v>
      </c>
      <c r="L145" s="95">
        <f t="shared" si="41"/>
        <v>535783773.46338403</v>
      </c>
      <c r="M145" s="95">
        <f t="shared" si="42"/>
        <v>605307170.70420957</v>
      </c>
    </row>
    <row r="146" spans="1:13" x14ac:dyDescent="0.25">
      <c r="A146" s="43">
        <v>12</v>
      </c>
      <c r="B146" s="200">
        <f>'N CARRILES HCM'!C15</f>
        <v>5126.3232686554356</v>
      </c>
      <c r="C146" s="95">
        <f t="shared" si="43"/>
        <v>521707090.72350997</v>
      </c>
      <c r="D146" s="95">
        <f t="shared" si="38"/>
        <v>551857286.66728556</v>
      </c>
      <c r="E146" s="95">
        <f t="shared" si="39"/>
        <v>623466385.82533574</v>
      </c>
      <c r="I146" s="43">
        <v>12</v>
      </c>
      <c r="J146" s="200">
        <f>'N CARRILES HCM'!C52</f>
        <v>5126.3232686554356</v>
      </c>
      <c r="K146" s="95">
        <f t="shared" si="40"/>
        <v>496381688.94404501</v>
      </c>
      <c r="L146" s="95">
        <f t="shared" si="41"/>
        <v>551857286.66728556</v>
      </c>
      <c r="M146" s="95">
        <f t="shared" si="42"/>
        <v>623466385.82533574</v>
      </c>
    </row>
    <row r="147" spans="1:13" x14ac:dyDescent="0.25">
      <c r="A147" s="43">
        <v>13</v>
      </c>
      <c r="B147" s="200">
        <f>'N CARRILES HCM'!C16</f>
        <v>5280.1129667150981</v>
      </c>
      <c r="C147" s="95">
        <f t="shared" si="43"/>
        <v>537358303.44521523</v>
      </c>
      <c r="D147" s="95">
        <f t="shared" si="38"/>
        <v>568413005.26730406</v>
      </c>
      <c r="E147" s="95">
        <f t="shared" si="39"/>
        <v>642170377.4000957</v>
      </c>
      <c r="I147" s="43">
        <v>13</v>
      </c>
      <c r="J147" s="200">
        <f>'N CARRILES HCM'!C53</f>
        <v>5280.1129667150981</v>
      </c>
      <c r="K147" s="95">
        <f t="shared" si="40"/>
        <v>511273139.61236638</v>
      </c>
      <c r="L147" s="95">
        <f t="shared" si="41"/>
        <v>568413005.26730406</v>
      </c>
      <c r="M147" s="95">
        <f t="shared" si="42"/>
        <v>642170377.4000957</v>
      </c>
    </row>
    <row r="148" spans="1:13" x14ac:dyDescent="0.25">
      <c r="A148" s="43">
        <v>14</v>
      </c>
      <c r="B148" s="200">
        <f>'N CARRILES HCM'!C17</f>
        <v>5438.5163557165515</v>
      </c>
      <c r="C148" s="95">
        <f t="shared" si="43"/>
        <v>593456923.21553004</v>
      </c>
      <c r="D148" s="95">
        <f t="shared" si="38"/>
        <v>585465395.42532325</v>
      </c>
      <c r="E148" s="95">
        <f t="shared" si="39"/>
        <v>661435488.72209871</v>
      </c>
      <c r="I148" s="43">
        <v>14</v>
      </c>
      <c r="J148" s="200">
        <f>'N CARRILES HCM'!C54</f>
        <v>5438.5163557165515</v>
      </c>
      <c r="K148" s="95">
        <f t="shared" si="40"/>
        <v>526611333.80073732</v>
      </c>
      <c r="L148" s="95">
        <f t="shared" si="41"/>
        <v>585465395.42532325</v>
      </c>
      <c r="M148" s="95">
        <f t="shared" si="42"/>
        <v>661435488.72209871</v>
      </c>
    </row>
    <row r="149" spans="1:13" x14ac:dyDescent="0.25">
      <c r="A149" s="43">
        <v>15</v>
      </c>
      <c r="B149" s="200">
        <f>'N CARRILES HCM'!C18</f>
        <v>5601.6718463880488</v>
      </c>
      <c r="C149" s="95">
        <f t="shared" si="43"/>
        <v>611260630.91199601</v>
      </c>
      <c r="D149" s="95">
        <f t="shared" si="38"/>
        <v>603029357.28808308</v>
      </c>
      <c r="E149" s="95">
        <f t="shared" si="39"/>
        <v>681278553.38376188</v>
      </c>
      <c r="I149" s="43">
        <v>15</v>
      </c>
      <c r="J149" s="200">
        <f>'N CARRILES HCM'!C55</f>
        <v>5601.6718463880488</v>
      </c>
      <c r="K149" s="95">
        <f t="shared" si="40"/>
        <v>542409673.81475961</v>
      </c>
      <c r="L149" s="95">
        <f t="shared" si="41"/>
        <v>603029357.28808308</v>
      </c>
      <c r="M149" s="95">
        <f t="shared" si="42"/>
        <v>681278553.38376188</v>
      </c>
    </row>
    <row r="150" spans="1:13" x14ac:dyDescent="0.25">
      <c r="A150" s="43">
        <v>16</v>
      </c>
      <c r="B150" s="200">
        <f>'N CARRILES HCM'!C19</f>
        <v>5769.722001779689</v>
      </c>
      <c r="C150" s="95">
        <f t="shared" si="43"/>
        <v>629598449.83935571</v>
      </c>
      <c r="D150" s="95">
        <f t="shared" si="38"/>
        <v>621120238.00672531</v>
      </c>
      <c r="E150" s="95">
        <f t="shared" si="39"/>
        <v>701716909.98527443</v>
      </c>
      <c r="I150" s="43">
        <v>16</v>
      </c>
      <c r="J150" s="200">
        <f>'N CARRILES HCM'!C56</f>
        <v>5769.722001779689</v>
      </c>
      <c r="K150" s="95">
        <f t="shared" si="40"/>
        <v>558681964.02920222</v>
      </c>
      <c r="L150" s="95">
        <f t="shared" si="41"/>
        <v>621120238.00672531</v>
      </c>
      <c r="M150" s="95">
        <f t="shared" si="42"/>
        <v>701716909.98527443</v>
      </c>
    </row>
    <row r="151" spans="1:13" x14ac:dyDescent="0.25">
      <c r="A151" s="43">
        <v>17</v>
      </c>
      <c r="B151" s="200">
        <f>'N CARRILES HCM'!C20</f>
        <v>5942.81366183308</v>
      </c>
      <c r="C151" s="95">
        <f t="shared" si="43"/>
        <v>648486403.33453655</v>
      </c>
      <c r="D151" s="95">
        <f t="shared" si="38"/>
        <v>639753845.14692724</v>
      </c>
      <c r="E151" s="95">
        <f t="shared" si="39"/>
        <v>722768417.28483272</v>
      </c>
      <c r="I151" s="43">
        <v>17</v>
      </c>
      <c r="J151" s="200">
        <f>'N CARRILES HCM'!C57</f>
        <v>5942.81366183308</v>
      </c>
      <c r="K151" s="95">
        <f t="shared" si="40"/>
        <v>575442422.95007825</v>
      </c>
      <c r="L151" s="95">
        <f t="shared" si="41"/>
        <v>639753845.14692724</v>
      </c>
      <c r="M151" s="95">
        <f t="shared" si="42"/>
        <v>722768417.28483272</v>
      </c>
    </row>
    <row r="152" spans="1:13" x14ac:dyDescent="0.25">
      <c r="A152" s="43">
        <v>18</v>
      </c>
      <c r="B152" s="200">
        <f>'N CARRILES HCM'!C21</f>
        <v>6121.0980716880722</v>
      </c>
      <c r="C152" s="95">
        <f t="shared" si="43"/>
        <v>667940995.43457246</v>
      </c>
      <c r="D152" s="95">
        <f t="shared" si="38"/>
        <v>658946460.50133502</v>
      </c>
      <c r="E152" s="95">
        <f t="shared" si="39"/>
        <v>744451469.80337775</v>
      </c>
      <c r="I152" s="43">
        <v>18</v>
      </c>
      <c r="J152" s="200">
        <f>'N CARRILES HCM'!C58</f>
        <v>6121.0980716880722</v>
      </c>
      <c r="K152" s="95">
        <f t="shared" si="40"/>
        <v>592705695.63858068</v>
      </c>
      <c r="L152" s="95">
        <f t="shared" si="41"/>
        <v>658946460.50133502</v>
      </c>
      <c r="M152" s="95">
        <f t="shared" si="42"/>
        <v>744451469.80337775</v>
      </c>
    </row>
    <row r="153" spans="1:13" x14ac:dyDescent="0.25">
      <c r="A153" s="43">
        <v>19</v>
      </c>
      <c r="B153" s="200">
        <f>'N CARRILES HCM'!C22</f>
        <v>6304.7310138387138</v>
      </c>
      <c r="C153" s="95">
        <f t="shared" si="43"/>
        <v>687979225.29760969</v>
      </c>
      <c r="D153" s="95">
        <f t="shared" si="38"/>
        <v>678714854.31637502</v>
      </c>
      <c r="E153" s="95">
        <f t="shared" si="39"/>
        <v>766785013.89747906</v>
      </c>
      <c r="I153" s="43">
        <v>19</v>
      </c>
      <c r="J153" s="200">
        <f>'N CARRILES HCM'!C59</f>
        <v>6304.7310138387138</v>
      </c>
      <c r="K153" s="95">
        <f t="shared" si="40"/>
        <v>610486866.50773799</v>
      </c>
      <c r="L153" s="95">
        <f t="shared" si="41"/>
        <v>678714854.31637502</v>
      </c>
      <c r="M153" s="95">
        <f t="shared" si="42"/>
        <v>766785013.89747906</v>
      </c>
    </row>
    <row r="154" spans="1:13" x14ac:dyDescent="0.25">
      <c r="A154" s="43">
        <v>20</v>
      </c>
      <c r="B154" s="200">
        <f>'N CARRILES HCM'!C23</f>
        <v>6493.8729442538752</v>
      </c>
      <c r="C154" s="95">
        <f t="shared" si="43"/>
        <v>708618602.05653799</v>
      </c>
      <c r="D154" s="95">
        <f t="shared" si="38"/>
        <v>699076299.94586623</v>
      </c>
      <c r="E154" s="95">
        <f t="shared" si="39"/>
        <v>789788564.31440341</v>
      </c>
      <c r="I154" s="43">
        <v>20</v>
      </c>
      <c r="J154" s="200">
        <f>'N CARRILES HCM'!C60</f>
        <v>6493.8729442538752</v>
      </c>
      <c r="K154" s="95">
        <f t="shared" si="40"/>
        <v>628801472.50297022</v>
      </c>
      <c r="L154" s="95">
        <f t="shared" si="41"/>
        <v>699076299.94586623</v>
      </c>
      <c r="M154" s="95">
        <f t="shared" si="42"/>
        <v>789788564.31440341</v>
      </c>
    </row>
    <row r="155" spans="1:13" x14ac:dyDescent="0.25">
      <c r="A155" s="43">
        <v>21</v>
      </c>
      <c r="B155" s="200">
        <f>'N CARRILES HCM'!C24</f>
        <v>6688.6891325814904</v>
      </c>
      <c r="C155" s="95">
        <f t="shared" si="43"/>
        <v>729877160.11823392</v>
      </c>
      <c r="D155" s="95">
        <f t="shared" si="38"/>
        <v>720048588.94424224</v>
      </c>
      <c r="E155" s="95">
        <f t="shared" si="39"/>
        <v>813482221.24383545</v>
      </c>
      <c r="I155" s="43">
        <v>21</v>
      </c>
      <c r="J155" s="200">
        <f>'N CARRILES HCM'!C61</f>
        <v>6688.6891325814904</v>
      </c>
      <c r="K155" s="95">
        <f t="shared" si="40"/>
        <v>647665516.6780591</v>
      </c>
      <c r="L155" s="95">
        <f t="shared" si="41"/>
        <v>720048588.94424224</v>
      </c>
      <c r="M155" s="95">
        <f t="shared" si="42"/>
        <v>813482221.24383545</v>
      </c>
    </row>
    <row r="156" spans="1:13" x14ac:dyDescent="0.25">
      <c r="A156" s="43">
        <v>22</v>
      </c>
      <c r="B156" s="200">
        <f>'N CARRILES HCM'!C25</f>
        <v>6889.3498065589365</v>
      </c>
      <c r="C156" s="95">
        <f t="shared" si="43"/>
        <v>751773474.92178106</v>
      </c>
      <c r="D156" s="95">
        <f t="shared" si="38"/>
        <v>741650046.61256957</v>
      </c>
      <c r="E156" s="95">
        <f t="shared" si="39"/>
        <v>837886687.88115048</v>
      </c>
      <c r="I156" s="43">
        <v>22</v>
      </c>
      <c r="J156" s="200">
        <f>'N CARRILES HCM'!C62</f>
        <v>6889.3498065589365</v>
      </c>
      <c r="K156" s="95">
        <f t="shared" si="40"/>
        <v>667095482.17840111</v>
      </c>
      <c r="L156" s="95">
        <f t="shared" si="41"/>
        <v>741650046.61256957</v>
      </c>
      <c r="M156" s="95">
        <f t="shared" si="42"/>
        <v>837886687.88115048</v>
      </c>
    </row>
    <row r="157" spans="1:13" x14ac:dyDescent="0.25">
      <c r="A157" s="43">
        <v>23</v>
      </c>
      <c r="B157" s="200">
        <f>'N CARRILES HCM'!C26</f>
        <v>7096.030300755705</v>
      </c>
      <c r="C157" s="95">
        <f t="shared" si="43"/>
        <v>774326679.16943455</v>
      </c>
      <c r="D157" s="95">
        <f t="shared" si="38"/>
        <v>763899548.01094663</v>
      </c>
      <c r="E157" s="95">
        <f t="shared" si="39"/>
        <v>863023288.51758516</v>
      </c>
      <c r="I157" s="43">
        <v>23</v>
      </c>
      <c r="J157" s="200">
        <f>'N CARRILES HCM'!C63</f>
        <v>7096.030300755705</v>
      </c>
      <c r="K157" s="95">
        <f t="shared" si="40"/>
        <v>687108346.64375305</v>
      </c>
      <c r="L157" s="95">
        <f t="shared" si="41"/>
        <v>763899548.01094663</v>
      </c>
      <c r="M157" s="95">
        <f t="shared" si="42"/>
        <v>863023288.51758516</v>
      </c>
    </row>
    <row r="158" spans="1:13" x14ac:dyDescent="0.25">
      <c r="A158" s="43">
        <v>24</v>
      </c>
      <c r="B158" s="200">
        <f>'N CARRILES HCM'!C27</f>
        <v>7308.9112097783745</v>
      </c>
      <c r="C158" s="95">
        <f t="shared" si="43"/>
        <v>797556479.5445174</v>
      </c>
      <c r="D158" s="95">
        <f t="shared" si="38"/>
        <v>786816534.45127487</v>
      </c>
      <c r="E158" s="95">
        <f t="shared" si="39"/>
        <v>888913987.17311239</v>
      </c>
      <c r="I158" s="43">
        <v>24</v>
      </c>
      <c r="J158" s="200">
        <f>'N CARRILES HCM'!C64</f>
        <v>7308.9112097783745</v>
      </c>
      <c r="K158" s="95">
        <f t="shared" si="40"/>
        <v>707721597.04306555</v>
      </c>
      <c r="L158" s="95">
        <f t="shared" si="41"/>
        <v>786816534.45127487</v>
      </c>
      <c r="M158" s="95">
        <f t="shared" si="42"/>
        <v>888913987.17311239</v>
      </c>
    </row>
    <row r="159" spans="1:13" x14ac:dyDescent="0.25">
      <c r="A159" s="43">
        <v>25</v>
      </c>
      <c r="B159" s="200">
        <f>'N CARRILES HCM'!C28</f>
        <v>7528.1785460717256</v>
      </c>
      <c r="C159" s="95">
        <f t="shared" si="43"/>
        <v>821483173.93085289</v>
      </c>
      <c r="D159" s="95">
        <f t="shared" si="38"/>
        <v>810421030.48481309</v>
      </c>
      <c r="E159" s="95">
        <f t="shared" si="39"/>
        <v>915581406.78830588</v>
      </c>
      <c r="I159" s="43">
        <v>25</v>
      </c>
      <c r="J159" s="200">
        <f>'N CARRILES HCM'!C65</f>
        <v>7528.1785460717256</v>
      </c>
      <c r="K159" s="95">
        <f t="shared" si="40"/>
        <v>728953244.95435762</v>
      </c>
      <c r="L159" s="95">
        <f t="shared" si="41"/>
        <v>810421030.48481309</v>
      </c>
      <c r="M159" s="95">
        <f t="shared" si="42"/>
        <v>915581406.78830588</v>
      </c>
    </row>
    <row r="160" spans="1:13" x14ac:dyDescent="0.25">
      <c r="A160" s="43">
        <v>26</v>
      </c>
      <c r="B160" s="200">
        <f>'N CARRILES HCM'!C29</f>
        <v>7754.0239024538787</v>
      </c>
      <c r="C160" s="95">
        <f t="shared" si="43"/>
        <v>846127669.14877856</v>
      </c>
      <c r="D160" s="95">
        <f t="shared" si="38"/>
        <v>834733661.39935768</v>
      </c>
      <c r="E160" s="95">
        <f t="shared" si="39"/>
        <v>943048848.99195516</v>
      </c>
      <c r="I160" s="43">
        <v>26</v>
      </c>
      <c r="J160" s="200">
        <f>'N CARRILES HCM'!C66</f>
        <v>7754.0239024538787</v>
      </c>
      <c r="K160" s="95">
        <f t="shared" si="40"/>
        <v>750821842.30298841</v>
      </c>
      <c r="L160" s="95">
        <f t="shared" si="41"/>
        <v>834733661.39935768</v>
      </c>
      <c r="M160" s="95">
        <f t="shared" si="42"/>
        <v>943048848.99195516</v>
      </c>
    </row>
    <row r="161" spans="1:15" x14ac:dyDescent="0.25">
      <c r="A161" s="43">
        <v>27</v>
      </c>
      <c r="B161" s="200">
        <f>'N CARRILES HCM'!C30</f>
        <v>7986.6446195274939</v>
      </c>
      <c r="C161" s="95">
        <f t="shared" si="43"/>
        <v>871511499.22324181</v>
      </c>
      <c r="D161" s="95">
        <f t="shared" si="38"/>
        <v>859775671.24133813</v>
      </c>
      <c r="E161" s="95">
        <f t="shared" si="39"/>
        <v>971340314.46171367</v>
      </c>
      <c r="I161" s="43">
        <v>27</v>
      </c>
      <c r="J161" s="200">
        <f>'N CARRILES HCM'!C67</f>
        <v>7986.6446195274939</v>
      </c>
      <c r="K161" s="95">
        <f t="shared" si="40"/>
        <v>773346497.57207787</v>
      </c>
      <c r="L161" s="95">
        <f t="shared" si="41"/>
        <v>859775671.24133813</v>
      </c>
      <c r="M161" s="95">
        <f t="shared" si="42"/>
        <v>971340314.46171367</v>
      </c>
    </row>
    <row r="162" spans="1:15" x14ac:dyDescent="0.25">
      <c r="A162" s="43">
        <v>28</v>
      </c>
      <c r="B162" s="200">
        <f>'N CARRILES HCM'!C31</f>
        <v>8226.2439581133185</v>
      </c>
      <c r="C162" s="95">
        <f t="shared" si="43"/>
        <v>897656844.19993925</v>
      </c>
      <c r="D162" s="95">
        <f t="shared" si="38"/>
        <v>885568941.37857831</v>
      </c>
      <c r="E162" s="95">
        <f t="shared" si="39"/>
        <v>1000480523.8955652</v>
      </c>
      <c r="I162" s="43">
        <v>28</v>
      </c>
      <c r="J162" s="200">
        <f>'N CARRILES HCM'!C68</f>
        <v>8226.2439581133185</v>
      </c>
      <c r="K162" s="95">
        <f t="shared" si="40"/>
        <v>796546892.49924016</v>
      </c>
      <c r="L162" s="95">
        <f t="shared" si="41"/>
        <v>885568941.37857831</v>
      </c>
      <c r="M162" s="95">
        <f t="shared" si="42"/>
        <v>1000480523.8955652</v>
      </c>
    </row>
    <row r="163" spans="1:15" x14ac:dyDescent="0.25">
      <c r="A163" s="43">
        <v>29</v>
      </c>
      <c r="B163" s="200">
        <f>'N CARRILES HCM'!C32</f>
        <v>8473.0312768567183</v>
      </c>
      <c r="C163" s="95">
        <f t="shared" si="43"/>
        <v>924586549.52593744</v>
      </c>
      <c r="D163" s="95">
        <f t="shared" si="38"/>
        <v>912136009.61993575</v>
      </c>
      <c r="E163" s="95">
        <f t="shared" si="39"/>
        <v>1030494939.6124319</v>
      </c>
      <c r="I163" s="43">
        <v>29</v>
      </c>
      <c r="J163" s="200">
        <f>'N CARRILES HCM'!C69</f>
        <v>8473.0312768567183</v>
      </c>
      <c r="K163" s="95">
        <f t="shared" si="40"/>
        <v>820443299.27421749</v>
      </c>
      <c r="L163" s="95">
        <f t="shared" si="41"/>
        <v>912136009.61993575</v>
      </c>
      <c r="M163" s="95">
        <f t="shared" si="42"/>
        <v>1030494939.6124319</v>
      </c>
    </row>
    <row r="164" spans="1:15" x14ac:dyDescent="0.25">
      <c r="A164" s="43">
        <v>30</v>
      </c>
      <c r="B164" s="200">
        <f>'N CARRILES HCM'!C33</f>
        <v>8727.2222151624192</v>
      </c>
      <c r="C164" s="95">
        <f t="shared" si="43"/>
        <v>952324146.01171541</v>
      </c>
      <c r="D164" s="95">
        <f t="shared" si="38"/>
        <v>939500089.90853369</v>
      </c>
      <c r="E164" s="95">
        <f t="shared" si="39"/>
        <v>1061409787.800805</v>
      </c>
      <c r="I164" s="43">
        <v>30</v>
      </c>
      <c r="J164" s="200">
        <f>'N CARRILES HCM'!C70</f>
        <v>8727.2222151624192</v>
      </c>
      <c r="K164" s="95">
        <f t="shared" si="40"/>
        <v>845056598.25244403</v>
      </c>
      <c r="L164" s="95">
        <f t="shared" si="41"/>
        <v>939500089.90853369</v>
      </c>
      <c r="M164" s="95">
        <f t="shared" si="42"/>
        <v>1061409787.800805</v>
      </c>
    </row>
    <row r="165" spans="1:15" x14ac:dyDescent="0.25">
      <c r="A165" s="43">
        <v>31</v>
      </c>
      <c r="B165" s="200">
        <f>'N CARRILES HCM'!C34</f>
        <v>8989.0388816172926</v>
      </c>
      <c r="C165" s="95">
        <f t="shared" si="43"/>
        <v>980893870.39206696</v>
      </c>
      <c r="D165" s="95">
        <f t="shared" si="38"/>
        <v>967685092.60578978</v>
      </c>
      <c r="E165" s="95">
        <f t="shared" si="39"/>
        <v>1093252081.4348292</v>
      </c>
      <c r="I165" s="43">
        <v>31</v>
      </c>
      <c r="J165" s="200">
        <f>'N CARRILES HCM'!C71</f>
        <v>8989.0388816172926</v>
      </c>
      <c r="K165" s="95">
        <f t="shared" si="40"/>
        <v>870408296.20001745</v>
      </c>
      <c r="L165" s="95">
        <f t="shared" si="41"/>
        <v>967685092.60578978</v>
      </c>
      <c r="M165" s="95">
        <f t="shared" si="42"/>
        <v>1093252081.4348292</v>
      </c>
    </row>
    <row r="166" spans="1:15" x14ac:dyDescent="0.25">
      <c r="A166" s="43">
        <v>32</v>
      </c>
      <c r="B166" s="200">
        <f>'N CARRILES HCM'!C35</f>
        <v>9258.71004806581</v>
      </c>
      <c r="C166" s="95">
        <f t="shared" si="43"/>
        <v>1010320686.5038289</v>
      </c>
      <c r="D166" s="95">
        <f t="shared" si="38"/>
        <v>996715645.38396347</v>
      </c>
      <c r="E166" s="95">
        <f t="shared" si="39"/>
        <v>1126049643.8778739</v>
      </c>
      <c r="I166" s="43">
        <v>32</v>
      </c>
      <c r="J166" s="200">
        <f>'N CARRILES HCM'!C72</f>
        <v>9258.71004806581</v>
      </c>
      <c r="K166" s="95">
        <f t="shared" si="40"/>
        <v>896520545.08601773</v>
      </c>
      <c r="L166" s="95">
        <f t="shared" si="41"/>
        <v>996715645.38396347</v>
      </c>
      <c r="M166" s="95">
        <f t="shared" si="42"/>
        <v>1126049643.8778739</v>
      </c>
    </row>
    <row r="168" spans="1:15" x14ac:dyDescent="0.25">
      <c r="A168" s="239" t="s">
        <v>527</v>
      </c>
      <c r="B168" s="239"/>
      <c r="C168" s="239"/>
      <c r="D168" s="239"/>
      <c r="E168" s="239"/>
      <c r="F168" s="239"/>
      <c r="G168" s="19"/>
      <c r="J168" t="s">
        <v>249</v>
      </c>
    </row>
    <row r="169" spans="1:15" x14ac:dyDescent="0.25">
      <c r="A169" t="s">
        <v>243</v>
      </c>
      <c r="F169" s="239" t="s">
        <v>247</v>
      </c>
      <c r="G169" s="239">
        <f>$G$131</f>
        <v>70</v>
      </c>
      <c r="J169" s="569" t="s">
        <v>246</v>
      </c>
      <c r="K169" s="569"/>
      <c r="L169" s="569"/>
      <c r="M169" s="574" t="s">
        <v>250</v>
      </c>
      <c r="N169" s="574"/>
      <c r="O169" t="s">
        <v>246</v>
      </c>
    </row>
    <row r="170" spans="1:15" ht="25.5" x14ac:dyDescent="0.25">
      <c r="C170" s="569" t="s">
        <v>246</v>
      </c>
      <c r="D170" s="569"/>
      <c r="E170" s="569"/>
      <c r="I170" s="43" t="s">
        <v>18</v>
      </c>
      <c r="J170" s="270" t="s">
        <v>126</v>
      </c>
      <c r="K170" s="270" t="s">
        <v>90</v>
      </c>
      <c r="L170" s="270" t="s">
        <v>127</v>
      </c>
      <c r="M170" s="574"/>
      <c r="N170" s="574"/>
      <c r="O170" s="289" t="s">
        <v>13</v>
      </c>
    </row>
    <row r="171" spans="1:15" x14ac:dyDescent="0.25">
      <c r="A171" s="43" t="s">
        <v>18</v>
      </c>
      <c r="B171" s="43" t="s">
        <v>245</v>
      </c>
      <c r="C171" s="298" t="s">
        <v>233</v>
      </c>
      <c r="D171" s="298" t="s">
        <v>234</v>
      </c>
      <c r="E171" s="298" t="s">
        <v>235</v>
      </c>
      <c r="I171" s="43">
        <v>0</v>
      </c>
      <c r="J171" s="95">
        <f>IF($B$20="P",C134,IF($B$20="L",D134,IF($B$20="M",E134)))</f>
        <v>365914856.78748</v>
      </c>
      <c r="K171" s="200">
        <f>IF($B$57="P",K134,IF($B$57="L",L134,IF($B$57="M",M134)))</f>
        <v>348152129.52156001</v>
      </c>
      <c r="L171" s="95">
        <f>IF($B$94="P",C172,IF($B$94="L",D172,IF($B$94="M",E172)))</f>
        <v>784689877.84824002</v>
      </c>
      <c r="M171" s="324">
        <f t="shared" ref="M171:M197" si="44">L171-K171-J171</f>
        <v>70622891.539200008</v>
      </c>
      <c r="N171" s="70"/>
    </row>
    <row r="172" spans="1:15" x14ac:dyDescent="0.25">
      <c r="A172" s="43">
        <v>0</v>
      </c>
      <c r="B172" s="200">
        <f>'N CARRILES HCM'!C77</f>
        <v>7191</v>
      </c>
      <c r="C172" s="95">
        <f>B$172*$L$96*365*$G$169</f>
        <v>784689877.84824002</v>
      </c>
      <c r="D172" s="95">
        <f>B172*$M$96*365*$G$169</f>
        <v>774123195.21263993</v>
      </c>
      <c r="E172" s="95">
        <f>B172*$N$96*365*$G$169</f>
        <v>874573557.98904002</v>
      </c>
      <c r="I172" s="43">
        <v>1</v>
      </c>
      <c r="J172" s="95">
        <f t="shared" ref="J172:J203" si="45">IF($B$20="P",C135,IF($B$20="L",D135,IF($B$20="M",E135)))</f>
        <v>376892302.49110442</v>
      </c>
      <c r="K172" s="200">
        <f t="shared" ref="K172:K203" si="46">IF($B$57="P",K135,IF($B$57="L",L135,IF($B$57="M",M135)))</f>
        <v>358596693.40720683</v>
      </c>
      <c r="L172" s="95">
        <f t="shared" ref="L172:L202" si="47">IF($B$94="P",C173,IF($B$94="L",D173,IF($B$94="M",E173)))</f>
        <v>808230574.18368733</v>
      </c>
      <c r="M172" s="324">
        <f t="shared" si="44"/>
        <v>72741578.285376072</v>
      </c>
      <c r="N172" s="70"/>
    </row>
    <row r="173" spans="1:15" x14ac:dyDescent="0.25">
      <c r="A173" s="43">
        <v>1</v>
      </c>
      <c r="B173" s="200">
        <f>'N CARRILES HCM'!C78</f>
        <v>7406.7300000000005</v>
      </c>
      <c r="C173" s="95">
        <f t="shared" ref="C173:C204" si="48">B173*L97*365*$G$169</f>
        <v>808230574.18368733</v>
      </c>
      <c r="D173" s="95">
        <f t="shared" ref="D173:D204" si="49">B173*M97*365*$G$169</f>
        <v>797346891.06901932</v>
      </c>
      <c r="E173" s="95">
        <f t="shared" ref="E173:E204" si="50">B173*N97*365*$G$169</f>
        <v>900810764.72871125</v>
      </c>
      <c r="I173" s="43">
        <v>2</v>
      </c>
      <c r="J173" s="95">
        <f t="shared" si="45"/>
        <v>388199071.5658375</v>
      </c>
      <c r="K173" s="200">
        <f t="shared" si="46"/>
        <v>369354594.20942295</v>
      </c>
      <c r="L173" s="95">
        <f t="shared" si="47"/>
        <v>832477491.40919781</v>
      </c>
      <c r="M173" s="324">
        <f t="shared" si="44"/>
        <v>74923825.633937359</v>
      </c>
      <c r="N173" s="70"/>
    </row>
    <row r="174" spans="1:15" x14ac:dyDescent="0.25">
      <c r="A174" s="43">
        <v>2</v>
      </c>
      <c r="B174" s="200">
        <f>'N CARRILES HCM'!C79</f>
        <v>7628.9318999999996</v>
      </c>
      <c r="C174" s="95">
        <f t="shared" si="48"/>
        <v>832477491.40919781</v>
      </c>
      <c r="D174" s="95">
        <f t="shared" si="49"/>
        <v>821267297.80108976</v>
      </c>
      <c r="E174" s="95">
        <f t="shared" si="50"/>
        <v>927835087.67057252</v>
      </c>
      <c r="I174" s="43">
        <v>3</v>
      </c>
      <c r="J174" s="95">
        <f t="shared" si="45"/>
        <v>399845043.7128126</v>
      </c>
      <c r="K174" s="200">
        <f t="shared" si="46"/>
        <v>380435232.03570569</v>
      </c>
      <c r="L174" s="95">
        <f t="shared" si="47"/>
        <v>857451816.15147376</v>
      </c>
      <c r="M174" s="324">
        <f t="shared" si="44"/>
        <v>77171540.402955472</v>
      </c>
      <c r="N174" s="70"/>
    </row>
    <row r="175" spans="1:15" x14ac:dyDescent="0.25">
      <c r="A175" s="43">
        <v>3</v>
      </c>
      <c r="B175" s="200">
        <f>'N CARRILES HCM'!C80</f>
        <v>7857.799857</v>
      </c>
      <c r="C175" s="95">
        <f t="shared" si="48"/>
        <v>857451816.15147376</v>
      </c>
      <c r="D175" s="95">
        <f t="shared" si="49"/>
        <v>845905316.73512244</v>
      </c>
      <c r="E175" s="95">
        <f t="shared" si="50"/>
        <v>955670140.30068982</v>
      </c>
      <c r="I175" s="43">
        <v>4</v>
      </c>
      <c r="J175" s="95">
        <f t="shared" si="45"/>
        <v>411840395.02419698</v>
      </c>
      <c r="K175" s="200">
        <f t="shared" si="46"/>
        <v>391848288.99677682</v>
      </c>
      <c r="L175" s="95">
        <f t="shared" si="47"/>
        <v>883175370.6360178</v>
      </c>
      <c r="M175" s="324">
        <f t="shared" si="44"/>
        <v>79486686.615043998</v>
      </c>
      <c r="N175" s="70"/>
    </row>
    <row r="176" spans="1:15" x14ac:dyDescent="0.25">
      <c r="A176" s="43">
        <v>4</v>
      </c>
      <c r="B176" s="200">
        <f>'N CARRILES HCM'!C81</f>
        <v>8093.5338527099993</v>
      </c>
      <c r="C176" s="95">
        <f t="shared" si="48"/>
        <v>883175370.6360178</v>
      </c>
      <c r="D176" s="95">
        <f t="shared" si="49"/>
        <v>871282476.23717618</v>
      </c>
      <c r="E176" s="95">
        <f t="shared" si="50"/>
        <v>984340244.50971019</v>
      </c>
      <c r="I176" s="43">
        <v>5</v>
      </c>
      <c r="J176" s="95">
        <f t="shared" si="45"/>
        <v>424195606.87492293</v>
      </c>
      <c r="K176" s="200">
        <f t="shared" si="46"/>
        <v>403603737.6666801</v>
      </c>
      <c r="L176" s="95">
        <f t="shared" si="47"/>
        <v>909670631.75509846</v>
      </c>
      <c r="M176" s="324">
        <f t="shared" si="44"/>
        <v>81871287.213495433</v>
      </c>
      <c r="N176" s="70"/>
    </row>
    <row r="177" spans="1:14" x14ac:dyDescent="0.25">
      <c r="A177" s="43">
        <v>5</v>
      </c>
      <c r="B177" s="200">
        <f>'N CARRILES HCM'!C82</f>
        <v>8336.3398682912994</v>
      </c>
      <c r="C177" s="95">
        <f t="shared" si="48"/>
        <v>909670631.75509846</v>
      </c>
      <c r="D177" s="95">
        <f t="shared" si="49"/>
        <v>897420950.52429152</v>
      </c>
      <c r="E177" s="95">
        <f t="shared" si="50"/>
        <v>1013870451.8450016</v>
      </c>
      <c r="I177" s="43">
        <v>6</v>
      </c>
      <c r="J177" s="95">
        <f t="shared" si="45"/>
        <v>436921475.08117062</v>
      </c>
      <c r="K177" s="200">
        <f t="shared" si="46"/>
        <v>415711849.79668051</v>
      </c>
      <c r="L177" s="95">
        <f t="shared" si="47"/>
        <v>936960750.70775151</v>
      </c>
      <c r="M177" s="324">
        <f t="shared" si="44"/>
        <v>84327425.829900384</v>
      </c>
      <c r="N177" s="70"/>
    </row>
    <row r="178" spans="1:14" x14ac:dyDescent="0.25">
      <c r="A178" s="43">
        <v>6</v>
      </c>
      <c r="B178" s="200">
        <f>'N CARRILES HCM'!C83</f>
        <v>8586.4300643400384</v>
      </c>
      <c r="C178" s="95">
        <f t="shared" si="48"/>
        <v>936960750.70775151</v>
      </c>
      <c r="D178" s="95">
        <f t="shared" si="49"/>
        <v>924343579.04002011</v>
      </c>
      <c r="E178" s="95">
        <f t="shared" si="50"/>
        <v>1044286565.4003518</v>
      </c>
      <c r="I178" s="43">
        <v>7</v>
      </c>
      <c r="J178" s="95">
        <f t="shared" si="45"/>
        <v>450029119.33360571</v>
      </c>
      <c r="K178" s="200">
        <f t="shared" si="46"/>
        <v>428183205.29058099</v>
      </c>
      <c r="L178" s="95">
        <f t="shared" si="47"/>
        <v>965069573.228984</v>
      </c>
      <c r="M178" s="324">
        <f t="shared" si="44"/>
        <v>86857248.604797304</v>
      </c>
      <c r="N178" s="70"/>
    </row>
    <row r="179" spans="1:14" x14ac:dyDescent="0.25">
      <c r="A179" s="43">
        <v>7</v>
      </c>
      <c r="B179" s="200">
        <f>'N CARRILES HCM'!C84</f>
        <v>8844.0229662702404</v>
      </c>
      <c r="C179" s="95">
        <f t="shared" si="48"/>
        <v>965069573.228984</v>
      </c>
      <c r="D179" s="95">
        <f t="shared" si="49"/>
        <v>952073886.41122079</v>
      </c>
      <c r="E179" s="95">
        <f t="shared" si="50"/>
        <v>1075615162.3623624</v>
      </c>
      <c r="I179" s="43">
        <v>8</v>
      </c>
      <c r="J179" s="95">
        <f t="shared" si="45"/>
        <v>463529992.91361386</v>
      </c>
      <c r="K179" s="200">
        <f t="shared" si="46"/>
        <v>441028701.44929838</v>
      </c>
      <c r="L179" s="95">
        <f t="shared" si="47"/>
        <v>994021660.42585337</v>
      </c>
      <c r="M179" s="324">
        <f t="shared" si="44"/>
        <v>89462966.062941134</v>
      </c>
      <c r="N179" s="70"/>
    </row>
    <row r="180" spans="1:14" x14ac:dyDescent="0.25">
      <c r="A180" s="43">
        <v>8</v>
      </c>
      <c r="B180" s="200">
        <f>'N CARRILES HCM'!C85</f>
        <v>9109.3436552583462</v>
      </c>
      <c r="C180" s="95">
        <f t="shared" si="48"/>
        <v>994021660.42585337</v>
      </c>
      <c r="D180" s="95">
        <f t="shared" si="49"/>
        <v>980636103.00355732</v>
      </c>
      <c r="E180" s="95">
        <f t="shared" si="50"/>
        <v>1107883617.233233</v>
      </c>
      <c r="I180" s="43">
        <v>9</v>
      </c>
      <c r="J180" s="95">
        <f t="shared" si="45"/>
        <v>477435892.70102221</v>
      </c>
      <c r="K180" s="200">
        <f t="shared" si="46"/>
        <v>454259562.49277729</v>
      </c>
      <c r="L180" s="95">
        <f t="shared" si="47"/>
        <v>1023842310.238629</v>
      </c>
      <c r="M180" s="324">
        <f t="shared" si="44"/>
        <v>92146855.044829547</v>
      </c>
      <c r="N180" s="70"/>
    </row>
    <row r="181" spans="1:14" x14ac:dyDescent="0.25">
      <c r="A181" s="43">
        <v>9</v>
      </c>
      <c r="B181" s="200">
        <f>'N CARRILES HCM'!C86</f>
        <v>9382.6239649160962</v>
      </c>
      <c r="C181" s="95">
        <f t="shared" si="48"/>
        <v>1023842310.238629</v>
      </c>
      <c r="D181" s="95">
        <f t="shared" si="49"/>
        <v>1010055186.0936639</v>
      </c>
      <c r="E181" s="95">
        <f t="shared" si="50"/>
        <v>1141120125.7502298</v>
      </c>
      <c r="I181" s="43">
        <v>10</v>
      </c>
      <c r="J181" s="95">
        <f t="shared" si="45"/>
        <v>491758969.48205298</v>
      </c>
      <c r="K181" s="200">
        <f t="shared" si="46"/>
        <v>467887349.36756057</v>
      </c>
      <c r="L181" s="95">
        <f t="shared" si="47"/>
        <v>1054557579.5457878</v>
      </c>
      <c r="M181" s="324">
        <f t="shared" si="44"/>
        <v>94911260.696174204</v>
      </c>
      <c r="N181" s="70"/>
    </row>
    <row r="182" spans="1:14" x14ac:dyDescent="0.25">
      <c r="A182" s="43">
        <v>10</v>
      </c>
      <c r="B182" s="200">
        <f>'N CARRILES HCM'!C87</f>
        <v>9664.1026838635789</v>
      </c>
      <c r="C182" s="95">
        <f t="shared" si="48"/>
        <v>1054557579.5457878</v>
      </c>
      <c r="D182" s="95">
        <f t="shared" si="49"/>
        <v>1040356841.6764739</v>
      </c>
      <c r="E182" s="95">
        <f t="shared" si="50"/>
        <v>1175353729.5227368</v>
      </c>
      <c r="I182" s="43">
        <v>11</v>
      </c>
      <c r="J182" s="95">
        <f t="shared" si="45"/>
        <v>506511738.56651449</v>
      </c>
      <c r="K182" s="200">
        <f t="shared" si="46"/>
        <v>481923969.84858739</v>
      </c>
      <c r="L182" s="95">
        <f t="shared" si="47"/>
        <v>1086194306.9321616</v>
      </c>
      <c r="M182" s="324">
        <f t="shared" si="44"/>
        <v>97758598.517059684</v>
      </c>
      <c r="N182" s="70"/>
    </row>
    <row r="183" spans="1:14" x14ac:dyDescent="0.25">
      <c r="A183" s="43">
        <v>11</v>
      </c>
      <c r="B183" s="200">
        <f>'N CARRILES HCM'!C88</f>
        <v>9954.0257643794866</v>
      </c>
      <c r="C183" s="95">
        <f t="shared" si="48"/>
        <v>1086194306.9321616</v>
      </c>
      <c r="D183" s="95">
        <f t="shared" si="49"/>
        <v>1071567546.9267681</v>
      </c>
      <c r="E183" s="95">
        <f t="shared" si="50"/>
        <v>1210614341.4084191</v>
      </c>
      <c r="I183" s="43">
        <v>12</v>
      </c>
      <c r="J183" s="95">
        <f t="shared" si="45"/>
        <v>521707090.72350997</v>
      </c>
      <c r="K183" s="200">
        <f t="shared" si="46"/>
        <v>496381688.94404501</v>
      </c>
      <c r="L183" s="95">
        <f t="shared" si="47"/>
        <v>1219776617.9353416</v>
      </c>
      <c r="M183" s="324">
        <f t="shared" si="44"/>
        <v>201687838.26778656</v>
      </c>
      <c r="N183" s="70"/>
    </row>
    <row r="184" spans="1:14" x14ac:dyDescent="0.25">
      <c r="A184" s="43">
        <v>12</v>
      </c>
      <c r="B184" s="200">
        <f>'N CARRILES HCM'!C89</f>
        <v>10252.646537310871</v>
      </c>
      <c r="C184" s="95">
        <f t="shared" si="48"/>
        <v>1219776617.9353416</v>
      </c>
      <c r="D184" s="95">
        <f t="shared" si="49"/>
        <v>1103714573.3345711</v>
      </c>
      <c r="E184" s="95">
        <f t="shared" si="50"/>
        <v>1246932771.6506715</v>
      </c>
      <c r="I184" s="43">
        <v>13</v>
      </c>
      <c r="J184" s="95">
        <f t="shared" si="45"/>
        <v>537358303.44521523</v>
      </c>
      <c r="K184" s="200">
        <f t="shared" si="46"/>
        <v>511273139.61236638</v>
      </c>
      <c r="L184" s="95">
        <f t="shared" si="47"/>
        <v>1256369916.4734018</v>
      </c>
      <c r="M184" s="324">
        <f t="shared" si="44"/>
        <v>207738473.41582012</v>
      </c>
      <c r="N184" s="70"/>
    </row>
    <row r="185" spans="1:14" x14ac:dyDescent="0.25">
      <c r="A185" s="43">
        <v>13</v>
      </c>
      <c r="B185" s="200">
        <f>'N CARRILES HCM'!C90</f>
        <v>10560.225933430196</v>
      </c>
      <c r="C185" s="95">
        <f t="shared" si="48"/>
        <v>1256369916.4734018</v>
      </c>
      <c r="D185" s="95">
        <f t="shared" si="49"/>
        <v>1136826010.5346081</v>
      </c>
      <c r="E185" s="95">
        <f t="shared" si="50"/>
        <v>1284340754.8001914</v>
      </c>
      <c r="I185" s="43">
        <v>14</v>
      </c>
      <c r="J185" s="95">
        <f t="shared" si="45"/>
        <v>593456923.21553004</v>
      </c>
      <c r="K185" s="200">
        <f t="shared" si="46"/>
        <v>526611333.80073732</v>
      </c>
      <c r="L185" s="95">
        <f t="shared" si="47"/>
        <v>1294061013.9676042</v>
      </c>
      <c r="M185" s="324">
        <f t="shared" si="44"/>
        <v>173992756.95133674</v>
      </c>
      <c r="N185" s="70"/>
    </row>
    <row r="186" spans="1:14" x14ac:dyDescent="0.25">
      <c r="A186" s="43">
        <v>14</v>
      </c>
      <c r="B186" s="200">
        <f>'N CARRILES HCM'!C91</f>
        <v>10877.032711433103</v>
      </c>
      <c r="C186" s="95">
        <f t="shared" si="48"/>
        <v>1294061013.9676042</v>
      </c>
      <c r="D186" s="95">
        <f t="shared" si="49"/>
        <v>1170930790.8506465</v>
      </c>
      <c r="E186" s="95">
        <f t="shared" si="50"/>
        <v>1322870977.4441974</v>
      </c>
      <c r="I186" s="43">
        <v>15</v>
      </c>
      <c r="J186" s="95">
        <f t="shared" si="45"/>
        <v>611260630.91199601</v>
      </c>
      <c r="K186" s="200">
        <f t="shared" si="46"/>
        <v>542409673.81475961</v>
      </c>
      <c r="L186" s="95">
        <f t="shared" si="47"/>
        <v>1332882844.3866322</v>
      </c>
      <c r="M186" s="324">
        <f t="shared" si="44"/>
        <v>179212539.65987659</v>
      </c>
      <c r="N186" s="70"/>
    </row>
    <row r="187" spans="1:14" x14ac:dyDescent="0.25">
      <c r="A187" s="43">
        <v>15</v>
      </c>
      <c r="B187" s="200">
        <f>'N CARRILES HCM'!C92</f>
        <v>11203.343692776098</v>
      </c>
      <c r="C187" s="95">
        <f t="shared" si="48"/>
        <v>1332882844.3866322</v>
      </c>
      <c r="D187" s="95">
        <f t="shared" si="49"/>
        <v>1206058714.5761662</v>
      </c>
      <c r="E187" s="95">
        <f t="shared" si="50"/>
        <v>1362557106.7675238</v>
      </c>
      <c r="I187" s="43">
        <v>16</v>
      </c>
      <c r="J187" s="95">
        <f t="shared" si="45"/>
        <v>629598449.83935571</v>
      </c>
      <c r="K187" s="200">
        <f t="shared" si="46"/>
        <v>558681964.02920222</v>
      </c>
      <c r="L187" s="95">
        <f t="shared" si="47"/>
        <v>1372869329.718231</v>
      </c>
      <c r="M187" s="324">
        <f t="shared" si="44"/>
        <v>184588915.84967303</v>
      </c>
      <c r="N187" s="70"/>
    </row>
    <row r="188" spans="1:14" x14ac:dyDescent="0.25">
      <c r="A188" s="43">
        <v>16</v>
      </c>
      <c r="B188" s="200">
        <f>'N CARRILES HCM'!C93</f>
        <v>11539.444003559378</v>
      </c>
      <c r="C188" s="95">
        <f t="shared" si="48"/>
        <v>1372869329.718231</v>
      </c>
      <c r="D188" s="95">
        <f t="shared" si="49"/>
        <v>1242240476.0134506</v>
      </c>
      <c r="E188" s="95">
        <f t="shared" si="50"/>
        <v>1403433819.9705489</v>
      </c>
      <c r="I188" s="43">
        <v>17</v>
      </c>
      <c r="J188" s="95">
        <f t="shared" si="45"/>
        <v>648486403.33453655</v>
      </c>
      <c r="K188" s="200">
        <f t="shared" si="46"/>
        <v>575442422.95007825</v>
      </c>
      <c r="L188" s="95">
        <f t="shared" si="47"/>
        <v>1414055409.6097779</v>
      </c>
      <c r="M188" s="324">
        <f t="shared" si="44"/>
        <v>190126583.32516313</v>
      </c>
      <c r="N188" s="70"/>
    </row>
    <row r="189" spans="1:14" x14ac:dyDescent="0.25">
      <c r="A189" s="43">
        <v>17</v>
      </c>
      <c r="B189" s="200">
        <f>'N CARRILES HCM'!C94</f>
        <v>11885.62732366616</v>
      </c>
      <c r="C189" s="95">
        <f t="shared" si="48"/>
        <v>1414055409.6097779</v>
      </c>
      <c r="D189" s="95">
        <f t="shared" si="49"/>
        <v>1279507690.2938545</v>
      </c>
      <c r="E189" s="95">
        <f t="shared" si="50"/>
        <v>1445536834.5696654</v>
      </c>
      <c r="I189" s="43">
        <v>18</v>
      </c>
      <c r="J189" s="95">
        <f t="shared" si="45"/>
        <v>667940995.43457246</v>
      </c>
      <c r="K189" s="200">
        <f t="shared" si="46"/>
        <v>592705695.63858068</v>
      </c>
      <c r="L189" s="95">
        <f t="shared" si="47"/>
        <v>1456477071.8980711</v>
      </c>
      <c r="M189" s="324">
        <f t="shared" si="44"/>
        <v>195830380.82491791</v>
      </c>
      <c r="N189" s="70"/>
    </row>
    <row r="190" spans="1:14" x14ac:dyDescent="0.25">
      <c r="A190" s="43">
        <v>18</v>
      </c>
      <c r="B190" s="200">
        <f>'N CARRILES HCM'!C95</f>
        <v>12242.196143376144</v>
      </c>
      <c r="C190" s="95">
        <f t="shared" si="48"/>
        <v>1456477071.8980711</v>
      </c>
      <c r="D190" s="95">
        <f t="shared" si="49"/>
        <v>1317892921.00267</v>
      </c>
      <c r="E190" s="95">
        <f t="shared" si="50"/>
        <v>1488902939.6067555</v>
      </c>
      <c r="I190" s="43">
        <v>19</v>
      </c>
      <c r="J190" s="95">
        <f t="shared" si="45"/>
        <v>687979225.29760969</v>
      </c>
      <c r="K190" s="200">
        <f t="shared" si="46"/>
        <v>610486866.50773799</v>
      </c>
      <c r="L190" s="95">
        <f t="shared" si="47"/>
        <v>1500171384.0550134</v>
      </c>
      <c r="M190" s="324">
        <f t="shared" si="44"/>
        <v>201705292.24966574</v>
      </c>
      <c r="N190" s="70"/>
    </row>
    <row r="191" spans="1:14" x14ac:dyDescent="0.25">
      <c r="A191" s="43">
        <v>19</v>
      </c>
      <c r="B191" s="200">
        <f>'N CARRILES HCM'!C96</f>
        <v>12609.462027677428</v>
      </c>
      <c r="C191" s="95">
        <f t="shared" si="48"/>
        <v>1500171384.0550134</v>
      </c>
      <c r="D191" s="95">
        <f t="shared" si="49"/>
        <v>1357429708.63275</v>
      </c>
      <c r="E191" s="95">
        <f t="shared" si="50"/>
        <v>1533570027.7949581</v>
      </c>
      <c r="I191" s="43">
        <v>20</v>
      </c>
      <c r="J191" s="95">
        <f t="shared" si="45"/>
        <v>708618602.05653799</v>
      </c>
      <c r="K191" s="200">
        <f t="shared" si="46"/>
        <v>628801472.50297022</v>
      </c>
      <c r="L191" s="95">
        <f t="shared" si="47"/>
        <v>1545176525.5766637</v>
      </c>
      <c r="M191" s="324">
        <f t="shared" si="44"/>
        <v>207756451.01715553</v>
      </c>
      <c r="N191" s="70"/>
    </row>
    <row r="192" spans="1:14" x14ac:dyDescent="0.25">
      <c r="A192" s="43">
        <v>20</v>
      </c>
      <c r="B192" s="200">
        <f>'N CARRILES HCM'!C97</f>
        <v>12987.74588850775</v>
      </c>
      <c r="C192" s="95">
        <f t="shared" si="48"/>
        <v>1545176525.5766637</v>
      </c>
      <c r="D192" s="95">
        <f t="shared" si="49"/>
        <v>1398152599.8917325</v>
      </c>
      <c r="E192" s="95">
        <f t="shared" si="50"/>
        <v>1579577128.6288068</v>
      </c>
      <c r="I192" s="43">
        <v>21</v>
      </c>
      <c r="J192" s="95">
        <f t="shared" si="45"/>
        <v>729877160.11823392</v>
      </c>
      <c r="K192" s="200">
        <f t="shared" si="46"/>
        <v>647665516.6780591</v>
      </c>
      <c r="L192" s="95">
        <f t="shared" si="47"/>
        <v>1591531821.3439634</v>
      </c>
      <c r="M192" s="324">
        <f t="shared" si="44"/>
        <v>213989144.54767036</v>
      </c>
      <c r="N192" s="70"/>
    </row>
    <row r="193" spans="1:14" x14ac:dyDescent="0.25">
      <c r="A193" s="43">
        <v>21</v>
      </c>
      <c r="B193" s="200">
        <f>'N CARRILES HCM'!C98</f>
        <v>13377.378265162981</v>
      </c>
      <c r="C193" s="95">
        <f t="shared" si="48"/>
        <v>1591531821.3439634</v>
      </c>
      <c r="D193" s="95">
        <f t="shared" si="49"/>
        <v>1440097177.8884845</v>
      </c>
      <c r="E193" s="95">
        <f t="shared" si="50"/>
        <v>1626964442.4876709</v>
      </c>
      <c r="I193" s="43">
        <v>22</v>
      </c>
      <c r="J193" s="95">
        <f t="shared" si="45"/>
        <v>751773474.92178106</v>
      </c>
      <c r="K193" s="200">
        <f t="shared" si="46"/>
        <v>667095482.17840111</v>
      </c>
      <c r="L193" s="95">
        <f t="shared" si="47"/>
        <v>1639277775.9842825</v>
      </c>
      <c r="M193" s="324">
        <f t="shared" si="44"/>
        <v>220408818.88410032</v>
      </c>
      <c r="N193" s="70"/>
    </row>
    <row r="194" spans="1:14" x14ac:dyDescent="0.25">
      <c r="A194" s="43">
        <v>22</v>
      </c>
      <c r="B194" s="200">
        <f>'N CARRILES HCM'!C99</f>
        <v>13778.699613117873</v>
      </c>
      <c r="C194" s="95">
        <f t="shared" si="48"/>
        <v>1639277775.9842825</v>
      </c>
      <c r="D194" s="95">
        <f t="shared" si="49"/>
        <v>1483300093.2251391</v>
      </c>
      <c r="E194" s="95">
        <f t="shared" si="50"/>
        <v>1675773375.762301</v>
      </c>
      <c r="I194" s="43">
        <v>23</v>
      </c>
      <c r="J194" s="95">
        <f t="shared" si="45"/>
        <v>774326679.16943455</v>
      </c>
      <c r="K194" s="200">
        <f t="shared" si="46"/>
        <v>687108346.64375305</v>
      </c>
      <c r="L194" s="95">
        <f t="shared" si="47"/>
        <v>1688456109.2638111</v>
      </c>
      <c r="M194" s="324">
        <f t="shared" si="44"/>
        <v>227021083.45062351</v>
      </c>
      <c r="N194" s="70"/>
    </row>
    <row r="195" spans="1:14" x14ac:dyDescent="0.25">
      <c r="A195" s="43">
        <v>23</v>
      </c>
      <c r="B195" s="200">
        <f>'N CARRILES HCM'!C100</f>
        <v>14192.06060151141</v>
      </c>
      <c r="C195" s="95">
        <f t="shared" si="48"/>
        <v>1688456109.2638111</v>
      </c>
      <c r="D195" s="95">
        <f t="shared" si="49"/>
        <v>1527799096.0218933</v>
      </c>
      <c r="E195" s="95">
        <f t="shared" si="50"/>
        <v>1726046577.0351703</v>
      </c>
      <c r="I195" s="43">
        <v>24</v>
      </c>
      <c r="J195" s="95">
        <f t="shared" si="45"/>
        <v>797556479.5445174</v>
      </c>
      <c r="K195" s="200">
        <f t="shared" si="46"/>
        <v>707721597.04306555</v>
      </c>
      <c r="L195" s="95">
        <f t="shared" si="47"/>
        <v>1739109792.5417249</v>
      </c>
      <c r="M195" s="324">
        <f t="shared" si="44"/>
        <v>233831715.95414197</v>
      </c>
      <c r="N195" s="70"/>
    </row>
    <row r="196" spans="1:14" x14ac:dyDescent="0.25">
      <c r="A196" s="43">
        <v>24</v>
      </c>
      <c r="B196" s="200">
        <f>'N CARRILES HCM'!C101</f>
        <v>14617.822419556749</v>
      </c>
      <c r="C196" s="95">
        <f t="shared" si="48"/>
        <v>1739109792.5417249</v>
      </c>
      <c r="D196" s="95">
        <f t="shared" si="49"/>
        <v>1573633068.9025497</v>
      </c>
      <c r="E196" s="95">
        <f t="shared" si="50"/>
        <v>1777827974.3462248</v>
      </c>
      <c r="I196" s="43">
        <v>25</v>
      </c>
      <c r="J196" s="95">
        <f t="shared" si="45"/>
        <v>821483173.93085289</v>
      </c>
      <c r="K196" s="200">
        <f t="shared" si="46"/>
        <v>728953244.95435762</v>
      </c>
      <c r="L196" s="95">
        <f t="shared" si="47"/>
        <v>1791283086.3179767</v>
      </c>
      <c r="M196" s="324">
        <f t="shared" si="44"/>
        <v>240846667.4327662</v>
      </c>
      <c r="N196" s="70"/>
    </row>
    <row r="197" spans="1:14" x14ac:dyDescent="0.25">
      <c r="A197" s="43">
        <v>25</v>
      </c>
      <c r="B197" s="200">
        <f>'N CARRILES HCM'!C102</f>
        <v>15056.357092143451</v>
      </c>
      <c r="C197" s="95">
        <f t="shared" si="48"/>
        <v>1791283086.3179767</v>
      </c>
      <c r="D197" s="95">
        <f t="shared" si="49"/>
        <v>1620842060.9696262</v>
      </c>
      <c r="E197" s="95">
        <f t="shared" si="50"/>
        <v>1831162813.5766118</v>
      </c>
      <c r="I197" s="43">
        <v>26</v>
      </c>
      <c r="J197" s="95">
        <f t="shared" si="45"/>
        <v>846127669.14877856</v>
      </c>
      <c r="K197" s="200">
        <f t="shared" si="46"/>
        <v>750821842.30298841</v>
      </c>
      <c r="L197" s="95">
        <f t="shared" si="47"/>
        <v>1845021578.9075165</v>
      </c>
      <c r="M197" s="324">
        <f t="shared" si="44"/>
        <v>248072067.45574939</v>
      </c>
      <c r="N197" s="70"/>
    </row>
    <row r="198" spans="1:14" x14ac:dyDescent="0.25">
      <c r="A198" s="43">
        <v>26</v>
      </c>
      <c r="B198" s="200">
        <f>'N CARRILES HCM'!C103</f>
        <v>15508.047804907757</v>
      </c>
      <c r="C198" s="95">
        <f t="shared" si="48"/>
        <v>1845021578.9075165</v>
      </c>
      <c r="D198" s="95">
        <f t="shared" si="49"/>
        <v>1669467322.7987154</v>
      </c>
      <c r="E198" s="95">
        <f t="shared" si="50"/>
        <v>1886097697.9839103</v>
      </c>
      <c r="I198" s="43">
        <v>27</v>
      </c>
      <c r="J198" s="95">
        <f t="shared" si="45"/>
        <v>871511499.22324181</v>
      </c>
      <c r="K198" s="200">
        <f t="shared" si="46"/>
        <v>773346497.57207787</v>
      </c>
      <c r="L198" s="95">
        <f t="shared" si="47"/>
        <v>1900372226.2747416</v>
      </c>
      <c r="M198" s="324">
        <f t="shared" ref="M198:M203" si="51">L198-K198-J198</f>
        <v>255514229.47942209</v>
      </c>
      <c r="N198" s="70"/>
    </row>
    <row r="199" spans="1:14" x14ac:dyDescent="0.25">
      <c r="A199" s="43">
        <v>27</v>
      </c>
      <c r="B199" s="200">
        <f>'N CARRILES HCM'!C104</f>
        <v>15973.289239054988</v>
      </c>
      <c r="C199" s="95">
        <f t="shared" si="48"/>
        <v>1900372226.2747416</v>
      </c>
      <c r="D199" s="95">
        <f t="shared" si="49"/>
        <v>1719551342.4826763</v>
      </c>
      <c r="E199" s="95">
        <f t="shared" si="50"/>
        <v>1942680628.9234273</v>
      </c>
      <c r="I199" s="43">
        <v>28</v>
      </c>
      <c r="J199" s="95">
        <f t="shared" si="45"/>
        <v>897656844.19993925</v>
      </c>
      <c r="K199" s="200">
        <f t="shared" si="46"/>
        <v>796546892.49924016</v>
      </c>
      <c r="L199" s="95">
        <f t="shared" si="47"/>
        <v>1957383393.062984</v>
      </c>
      <c r="M199" s="324">
        <f t="shared" si="51"/>
        <v>263179656.36380458</v>
      </c>
      <c r="N199" s="70"/>
    </row>
    <row r="200" spans="1:14" x14ac:dyDescent="0.25">
      <c r="A200" s="43">
        <v>28</v>
      </c>
      <c r="B200" s="200">
        <f>'N CARRILES HCM'!C105</f>
        <v>16452.487916226637</v>
      </c>
      <c r="C200" s="95">
        <f t="shared" si="48"/>
        <v>1957383393.062984</v>
      </c>
      <c r="D200" s="95">
        <f t="shared" si="49"/>
        <v>1771137882.7571566</v>
      </c>
      <c r="E200" s="95">
        <f t="shared" si="50"/>
        <v>2000961047.7911303</v>
      </c>
      <c r="I200" s="43">
        <v>29</v>
      </c>
      <c r="J200" s="95">
        <f t="shared" si="45"/>
        <v>924586549.52593744</v>
      </c>
      <c r="K200" s="200">
        <f t="shared" si="46"/>
        <v>820443299.27421749</v>
      </c>
      <c r="L200" s="95">
        <f t="shared" si="47"/>
        <v>2016104894.8548734</v>
      </c>
      <c r="M200" s="324">
        <f t="shared" si="51"/>
        <v>271075046.05471861</v>
      </c>
      <c r="N200" s="70"/>
    </row>
    <row r="201" spans="1:14" x14ac:dyDescent="0.25">
      <c r="A201" s="43">
        <v>29</v>
      </c>
      <c r="B201" s="200">
        <f>'N CARRILES HCM'!C106</f>
        <v>16946.062553713437</v>
      </c>
      <c r="C201" s="95">
        <f t="shared" si="48"/>
        <v>2016104894.8548734</v>
      </c>
      <c r="D201" s="95">
        <f t="shared" si="49"/>
        <v>1824272019.2398715</v>
      </c>
      <c r="E201" s="95">
        <f t="shared" si="50"/>
        <v>2060989879.2248638</v>
      </c>
      <c r="I201" s="43">
        <v>30</v>
      </c>
      <c r="J201" s="95">
        <f t="shared" si="45"/>
        <v>952324146.01171541</v>
      </c>
      <c r="K201" s="200">
        <f t="shared" si="46"/>
        <v>845056598.25244403</v>
      </c>
      <c r="L201" s="95">
        <f t="shared" si="47"/>
        <v>2076588041.7005193</v>
      </c>
      <c r="M201" s="324">
        <f t="shared" si="51"/>
        <v>279207297.43635988</v>
      </c>
      <c r="N201" s="70"/>
    </row>
    <row r="202" spans="1:14" x14ac:dyDescent="0.25">
      <c r="A202" s="43">
        <v>30</v>
      </c>
      <c r="B202" s="200">
        <f>'N CARRILES HCM'!C107</f>
        <v>17454.444430324838</v>
      </c>
      <c r="C202" s="95">
        <f t="shared" si="48"/>
        <v>2076588041.7005193</v>
      </c>
      <c r="D202" s="95">
        <f t="shared" si="49"/>
        <v>1879000179.8170674</v>
      </c>
      <c r="E202" s="95">
        <f t="shared" si="50"/>
        <v>2122819575.6016099</v>
      </c>
      <c r="I202" s="43">
        <v>31</v>
      </c>
      <c r="J202" s="95">
        <f t="shared" si="45"/>
        <v>980893870.39206696</v>
      </c>
      <c r="K202" s="200">
        <f t="shared" si="46"/>
        <v>870408296.20001745</v>
      </c>
      <c r="L202" s="95">
        <f t="shared" si="47"/>
        <v>2138885682.951535</v>
      </c>
      <c r="M202" s="324">
        <f t="shared" si="51"/>
        <v>287583516.35945058</v>
      </c>
    </row>
    <row r="203" spans="1:14" x14ac:dyDescent="0.25">
      <c r="A203" s="43">
        <v>31</v>
      </c>
      <c r="B203" s="200">
        <f>'N CARRILES HCM'!C108</f>
        <v>17978.077763234585</v>
      </c>
      <c r="C203" s="95">
        <f t="shared" si="48"/>
        <v>2138885682.951535</v>
      </c>
      <c r="D203" s="95">
        <f t="shared" si="49"/>
        <v>1935370185.2115796</v>
      </c>
      <c r="E203" s="95">
        <f t="shared" si="50"/>
        <v>2186504162.8696585</v>
      </c>
      <c r="I203" s="43">
        <v>32</v>
      </c>
      <c r="J203" s="95">
        <f t="shared" si="45"/>
        <v>1010320686.5038289</v>
      </c>
      <c r="K203" s="200">
        <f t="shared" si="46"/>
        <v>896520545.08601773</v>
      </c>
      <c r="L203" s="95">
        <f>IF($B$94="P",C204,IF($B$94="L",D204,IF($B$94="M",E204)))</f>
        <v>2203052253.4400806</v>
      </c>
      <c r="M203" s="324">
        <f t="shared" si="51"/>
        <v>296211021.85023415</v>
      </c>
    </row>
    <row r="204" spans="1:14" x14ac:dyDescent="0.25">
      <c r="A204" s="43">
        <v>32</v>
      </c>
      <c r="B204" s="200">
        <f>'N CARRILES HCM'!C109</f>
        <v>18517.42009613162</v>
      </c>
      <c r="C204" s="95">
        <f t="shared" si="48"/>
        <v>2203052253.4400806</v>
      </c>
      <c r="D204" s="95">
        <f t="shared" si="49"/>
        <v>1993431290.7679269</v>
      </c>
      <c r="E204" s="95">
        <f t="shared" si="50"/>
        <v>2252099287.7557478</v>
      </c>
    </row>
    <row r="206" spans="1:14" x14ac:dyDescent="0.25">
      <c r="A206" s="239" t="s">
        <v>528</v>
      </c>
      <c r="B206" s="239"/>
      <c r="C206" s="239"/>
      <c r="D206" s="239"/>
      <c r="E206" s="239"/>
      <c r="F206" s="239"/>
      <c r="G206" s="19"/>
      <c r="I206" t="s">
        <v>529</v>
      </c>
    </row>
    <row r="207" spans="1:14" x14ac:dyDescent="0.25">
      <c r="A207" t="s">
        <v>243</v>
      </c>
      <c r="F207" s="239" t="s">
        <v>247</v>
      </c>
      <c r="G207" s="239">
        <f>O131</f>
        <v>70</v>
      </c>
      <c r="J207" s="30" t="s">
        <v>246</v>
      </c>
      <c r="K207" s="30"/>
      <c r="L207" s="570" t="s">
        <v>250</v>
      </c>
      <c r="M207" s="571"/>
    </row>
    <row r="208" spans="1:14" x14ac:dyDescent="0.25">
      <c r="C208" s="569" t="s">
        <v>246</v>
      </c>
      <c r="D208" s="569"/>
      <c r="E208" s="569"/>
      <c r="I208" s="43" t="s">
        <v>18</v>
      </c>
      <c r="J208" s="270" t="s">
        <v>126</v>
      </c>
      <c r="K208" s="270" t="s">
        <v>90</v>
      </c>
      <c r="L208" s="572"/>
      <c r="M208" s="573"/>
    </row>
    <row r="209" spans="1:13" x14ac:dyDescent="0.25">
      <c r="A209" s="43" t="s">
        <v>18</v>
      </c>
      <c r="B209" s="43" t="s">
        <v>245</v>
      </c>
      <c r="C209" s="298" t="s">
        <v>233</v>
      </c>
      <c r="D209" s="298" t="s">
        <v>234</v>
      </c>
      <c r="E209" s="298" t="s">
        <v>235</v>
      </c>
      <c r="I209" s="43">
        <v>0</v>
      </c>
      <c r="J209" s="95">
        <f>IF($B$20="P",C210,IF($B$20="L",D210,IF($B$20="M",E210)))</f>
        <v>392344938.92412001</v>
      </c>
      <c r="K209" s="200">
        <f>K171</f>
        <v>348152129.52156001</v>
      </c>
      <c r="L209" s="324">
        <f>J209-K209</f>
        <v>44192809.402559996</v>
      </c>
      <c r="M209" s="70"/>
    </row>
    <row r="210" spans="1:13" x14ac:dyDescent="0.25">
      <c r="A210" s="43">
        <v>0</v>
      </c>
      <c r="B210" s="200">
        <f>J134</f>
        <v>3595.5</v>
      </c>
      <c r="C210" s="95">
        <f>B210*L$96*365*$G$207</f>
        <v>392344938.92412001</v>
      </c>
      <c r="D210" s="95">
        <f>B210*$M96*365*$G$207</f>
        <v>387061597.60631996</v>
      </c>
      <c r="E210" s="95">
        <f>B210*N96*365*$G$207</f>
        <v>437286778.99452001</v>
      </c>
      <c r="I210" s="43">
        <v>1</v>
      </c>
      <c r="J210" s="95">
        <f t="shared" ref="J210:J241" si="52">IF($B$20="P",C211,IF($B$20="L",D211,IF($B$20="M",E211)))</f>
        <v>404115287.09184366</v>
      </c>
      <c r="K210" s="200">
        <f t="shared" ref="K210:K241" si="53">K172</f>
        <v>358596693.40720683</v>
      </c>
      <c r="L210" s="324">
        <f t="shared" ref="L210:L241" si="54">J210-K210</f>
        <v>45518593.684636831</v>
      </c>
      <c r="M210" s="70"/>
    </row>
    <row r="211" spans="1:13" x14ac:dyDescent="0.25">
      <c r="A211" s="43">
        <v>1</v>
      </c>
      <c r="B211" s="200">
        <f t="shared" ref="B211:B242" si="55">J135</f>
        <v>3703.3650000000002</v>
      </c>
      <c r="C211" s="95">
        <f t="shared" ref="C211:C242" si="56">B211*L$96*365*$G$207</f>
        <v>404115287.09184366</v>
      </c>
      <c r="D211" s="95">
        <f t="shared" ref="D211:D242" si="57">B211*$M97*365*$G$207</f>
        <v>398673445.53450966</v>
      </c>
      <c r="E211" s="95">
        <f t="shared" ref="E211:E242" si="58">B211*N97*365*$G$207</f>
        <v>450405382.36435562</v>
      </c>
      <c r="I211" s="43">
        <v>2</v>
      </c>
      <c r="J211" s="95">
        <f t="shared" si="52"/>
        <v>416238745.7045989</v>
      </c>
      <c r="K211" s="200">
        <f t="shared" si="53"/>
        <v>369354594.20942295</v>
      </c>
      <c r="L211" s="324">
        <f t="shared" si="54"/>
        <v>46884151.495175958</v>
      </c>
      <c r="M211" s="70"/>
    </row>
    <row r="212" spans="1:13" x14ac:dyDescent="0.25">
      <c r="A212" s="43">
        <v>2</v>
      </c>
      <c r="B212" s="200">
        <f t="shared" si="55"/>
        <v>3814.4659499999998</v>
      </c>
      <c r="C212" s="95">
        <f t="shared" si="56"/>
        <v>416238745.7045989</v>
      </c>
      <c r="D212" s="95">
        <f t="shared" si="57"/>
        <v>410633648.90054488</v>
      </c>
      <c r="E212" s="95">
        <f t="shared" si="58"/>
        <v>463917543.83528626</v>
      </c>
      <c r="I212" s="43">
        <v>3</v>
      </c>
      <c r="J212" s="95">
        <f t="shared" si="52"/>
        <v>428725908.07573688</v>
      </c>
      <c r="K212" s="200">
        <f t="shared" si="53"/>
        <v>380435232.03570569</v>
      </c>
      <c r="L212" s="324">
        <f t="shared" si="54"/>
        <v>48290676.040031195</v>
      </c>
      <c r="M212" s="70"/>
    </row>
    <row r="213" spans="1:13" x14ac:dyDescent="0.25">
      <c r="A213" s="43">
        <v>3</v>
      </c>
      <c r="B213" s="200">
        <f t="shared" si="55"/>
        <v>3928.8999285</v>
      </c>
      <c r="C213" s="95">
        <f t="shared" si="56"/>
        <v>428725908.07573688</v>
      </c>
      <c r="D213" s="95">
        <f t="shared" si="57"/>
        <v>422952658.36756122</v>
      </c>
      <c r="E213" s="95">
        <f t="shared" si="58"/>
        <v>477835070.15034491</v>
      </c>
      <c r="I213" s="43">
        <v>4</v>
      </c>
      <c r="J213" s="95">
        <f t="shared" si="52"/>
        <v>441587685.3180089</v>
      </c>
      <c r="K213" s="200">
        <f t="shared" si="53"/>
        <v>391848288.99677682</v>
      </c>
      <c r="L213" s="324">
        <f t="shared" si="54"/>
        <v>49739396.32123208</v>
      </c>
      <c r="M213" s="70"/>
    </row>
    <row r="214" spans="1:13" x14ac:dyDescent="0.25">
      <c r="A214" s="43">
        <v>4</v>
      </c>
      <c r="B214" s="200">
        <f t="shared" si="55"/>
        <v>4046.7669263549997</v>
      </c>
      <c r="C214" s="95">
        <f t="shared" si="56"/>
        <v>441587685.3180089</v>
      </c>
      <c r="D214" s="95">
        <f t="shared" si="57"/>
        <v>435641238.11858809</v>
      </c>
      <c r="E214" s="95">
        <f t="shared" si="58"/>
        <v>492170122.2548551</v>
      </c>
      <c r="I214" s="43">
        <v>5</v>
      </c>
      <c r="J214" s="95">
        <f t="shared" si="52"/>
        <v>454835315.87754923</v>
      </c>
      <c r="K214" s="200">
        <f t="shared" si="53"/>
        <v>403603737.6666801</v>
      </c>
      <c r="L214" s="324">
        <f t="shared" si="54"/>
        <v>51231578.210869133</v>
      </c>
      <c r="M214" s="70"/>
    </row>
    <row r="215" spans="1:13" x14ac:dyDescent="0.25">
      <c r="A215" s="43">
        <v>5</v>
      </c>
      <c r="B215" s="200">
        <f t="shared" si="55"/>
        <v>4168.1699341456497</v>
      </c>
      <c r="C215" s="95">
        <f t="shared" si="56"/>
        <v>454835315.87754923</v>
      </c>
      <c r="D215" s="95">
        <f t="shared" si="57"/>
        <v>448710475.26214576</v>
      </c>
      <c r="E215" s="95">
        <f t="shared" si="58"/>
        <v>506935225.92250079</v>
      </c>
      <c r="I215" s="43">
        <v>6</v>
      </c>
      <c r="J215" s="95">
        <f t="shared" si="52"/>
        <v>468480375.35387576</v>
      </c>
      <c r="K215" s="200">
        <f t="shared" si="53"/>
        <v>415711849.79668051</v>
      </c>
      <c r="L215" s="324">
        <f t="shared" si="54"/>
        <v>52768525.557195246</v>
      </c>
      <c r="M215" s="70"/>
    </row>
    <row r="216" spans="1:13" x14ac:dyDescent="0.25">
      <c r="A216" s="43">
        <v>6</v>
      </c>
      <c r="B216" s="200">
        <f t="shared" si="55"/>
        <v>4293.2150321700192</v>
      </c>
      <c r="C216" s="95">
        <f t="shared" si="56"/>
        <v>468480375.35387576</v>
      </c>
      <c r="D216" s="95">
        <f t="shared" si="57"/>
        <v>462171789.52001005</v>
      </c>
      <c r="E216" s="95">
        <f t="shared" si="58"/>
        <v>522143282.70017588</v>
      </c>
      <c r="I216" s="43">
        <v>7</v>
      </c>
      <c r="J216" s="95">
        <f t="shared" si="52"/>
        <v>482534786.614492</v>
      </c>
      <c r="K216" s="200">
        <f t="shared" si="53"/>
        <v>428183205.29058099</v>
      </c>
      <c r="L216" s="324">
        <f t="shared" si="54"/>
        <v>54351581.323911011</v>
      </c>
      <c r="M216" s="70"/>
    </row>
    <row r="217" spans="1:13" x14ac:dyDescent="0.25">
      <c r="A217" s="43">
        <v>7</v>
      </c>
      <c r="B217" s="200">
        <f t="shared" si="55"/>
        <v>4422.0114831351202</v>
      </c>
      <c r="C217" s="95">
        <f t="shared" si="56"/>
        <v>482534786.614492</v>
      </c>
      <c r="D217" s="95">
        <f t="shared" si="57"/>
        <v>476036943.20561039</v>
      </c>
      <c r="E217" s="95">
        <f t="shared" si="58"/>
        <v>537807581.18118119</v>
      </c>
      <c r="I217" s="43">
        <v>8</v>
      </c>
      <c r="J217" s="95">
        <f t="shared" si="52"/>
        <v>497010830.21292669</v>
      </c>
      <c r="K217" s="200">
        <f t="shared" si="53"/>
        <v>441028701.44929838</v>
      </c>
      <c r="L217" s="324">
        <f t="shared" si="54"/>
        <v>55982128.763628304</v>
      </c>
      <c r="M217" s="70"/>
    </row>
    <row r="218" spans="1:13" x14ac:dyDescent="0.25">
      <c r="A218" s="43">
        <v>8</v>
      </c>
      <c r="B218" s="200">
        <f t="shared" si="55"/>
        <v>4554.6718276291731</v>
      </c>
      <c r="C218" s="95">
        <f t="shared" si="56"/>
        <v>497010830.21292669</v>
      </c>
      <c r="D218" s="95">
        <f t="shared" si="57"/>
        <v>490318051.50177866</v>
      </c>
      <c r="E218" s="95">
        <f t="shared" si="58"/>
        <v>553941808.61661649</v>
      </c>
      <c r="I218" s="43">
        <v>9</v>
      </c>
      <c r="J218" s="95">
        <f t="shared" si="52"/>
        <v>511921155.11931449</v>
      </c>
      <c r="K218" s="200">
        <f t="shared" si="53"/>
        <v>454259562.49277729</v>
      </c>
      <c r="L218" s="324">
        <f t="shared" si="54"/>
        <v>57661592.626537204</v>
      </c>
      <c r="M218" s="70"/>
    </row>
    <row r="219" spans="1:13" x14ac:dyDescent="0.25">
      <c r="A219" s="43">
        <v>9</v>
      </c>
      <c r="B219" s="200">
        <f t="shared" si="55"/>
        <v>4691.3119824580481</v>
      </c>
      <c r="C219" s="95">
        <f t="shared" si="56"/>
        <v>511921155.11931449</v>
      </c>
      <c r="D219" s="95">
        <f t="shared" si="57"/>
        <v>505027593.04683197</v>
      </c>
      <c r="E219" s="95">
        <f t="shared" si="58"/>
        <v>570560062.87511492</v>
      </c>
      <c r="I219" s="43">
        <v>10</v>
      </c>
      <c r="J219" s="95">
        <f t="shared" si="52"/>
        <v>527278789.77289391</v>
      </c>
      <c r="K219" s="200">
        <f t="shared" si="53"/>
        <v>467887349.36756057</v>
      </c>
      <c r="L219" s="324">
        <f t="shared" si="54"/>
        <v>59391440.40533334</v>
      </c>
      <c r="M219" s="70"/>
    </row>
    <row r="220" spans="1:13" x14ac:dyDescent="0.25">
      <c r="A220" s="43">
        <v>10</v>
      </c>
      <c r="B220" s="200">
        <f t="shared" si="55"/>
        <v>4832.0513419317895</v>
      </c>
      <c r="C220" s="95">
        <f t="shared" si="56"/>
        <v>527278789.77289391</v>
      </c>
      <c r="D220" s="95">
        <f t="shared" si="57"/>
        <v>520178420.83823693</v>
      </c>
      <c r="E220" s="95">
        <f t="shared" si="58"/>
        <v>587676864.76136839</v>
      </c>
      <c r="I220" s="43">
        <v>11</v>
      </c>
      <c r="J220" s="95">
        <f t="shared" si="52"/>
        <v>543097153.46608078</v>
      </c>
      <c r="K220" s="200">
        <f t="shared" si="53"/>
        <v>481923969.84858739</v>
      </c>
      <c r="L220" s="324">
        <f t="shared" si="54"/>
        <v>61173183.617493391</v>
      </c>
      <c r="M220" s="70"/>
    </row>
    <row r="221" spans="1:13" x14ac:dyDescent="0.25">
      <c r="A221" s="43">
        <v>11</v>
      </c>
      <c r="B221" s="200">
        <f t="shared" si="55"/>
        <v>4977.0128821897433</v>
      </c>
      <c r="C221" s="95">
        <f t="shared" si="56"/>
        <v>543097153.46608078</v>
      </c>
      <c r="D221" s="95">
        <f t="shared" si="57"/>
        <v>535783773.46338403</v>
      </c>
      <c r="E221" s="95">
        <f t="shared" si="58"/>
        <v>605307170.70420957</v>
      </c>
      <c r="I221" s="43">
        <v>12</v>
      </c>
      <c r="J221" s="95">
        <f t="shared" si="52"/>
        <v>559390068.07006323</v>
      </c>
      <c r="K221" s="200">
        <f t="shared" si="53"/>
        <v>496381688.94404501</v>
      </c>
      <c r="L221" s="324">
        <f t="shared" si="54"/>
        <v>63008379.126018226</v>
      </c>
      <c r="M221" s="70"/>
    </row>
    <row r="222" spans="1:13" x14ac:dyDescent="0.25">
      <c r="A222" s="43">
        <v>12</v>
      </c>
      <c r="B222" s="200">
        <f t="shared" si="55"/>
        <v>5126.3232686554356</v>
      </c>
      <c r="C222" s="95">
        <f t="shared" si="56"/>
        <v>559390068.07006323</v>
      </c>
      <c r="D222" s="95">
        <f t="shared" si="57"/>
        <v>551857286.66728556</v>
      </c>
      <c r="E222" s="95">
        <f t="shared" si="58"/>
        <v>623466385.82533574</v>
      </c>
      <c r="I222" s="43">
        <v>13</v>
      </c>
      <c r="J222" s="95">
        <f t="shared" si="52"/>
        <v>576171770.11216497</v>
      </c>
      <c r="K222" s="200">
        <f t="shared" si="53"/>
        <v>511273139.61236638</v>
      </c>
      <c r="L222" s="324">
        <f t="shared" si="54"/>
        <v>64898630.499798596</v>
      </c>
      <c r="M222" s="70"/>
    </row>
    <row r="223" spans="1:13" x14ac:dyDescent="0.25">
      <c r="A223" s="43">
        <v>13</v>
      </c>
      <c r="B223" s="200">
        <f t="shared" si="55"/>
        <v>5280.1129667150981</v>
      </c>
      <c r="C223" s="95">
        <f t="shared" si="56"/>
        <v>576171770.11216497</v>
      </c>
      <c r="D223" s="95">
        <f t="shared" si="57"/>
        <v>568413005.26730406</v>
      </c>
      <c r="E223" s="95">
        <f t="shared" si="58"/>
        <v>642170377.4000957</v>
      </c>
      <c r="I223" s="43">
        <v>14</v>
      </c>
      <c r="J223" s="95">
        <f t="shared" si="52"/>
        <v>593456923.21553004</v>
      </c>
      <c r="K223" s="200">
        <f t="shared" si="53"/>
        <v>526611333.80073732</v>
      </c>
      <c r="L223" s="324">
        <f t="shared" si="54"/>
        <v>66845589.414792717</v>
      </c>
      <c r="M223" s="70"/>
    </row>
    <row r="224" spans="1:13" x14ac:dyDescent="0.25">
      <c r="A224" s="43">
        <v>14</v>
      </c>
      <c r="B224" s="200">
        <f t="shared" si="55"/>
        <v>5438.5163557165515</v>
      </c>
      <c r="C224" s="95">
        <f t="shared" si="56"/>
        <v>593456923.21553004</v>
      </c>
      <c r="D224" s="95">
        <f t="shared" si="57"/>
        <v>585465395.42532325</v>
      </c>
      <c r="E224" s="95">
        <f t="shared" si="58"/>
        <v>661435488.72209871</v>
      </c>
      <c r="I224" s="43">
        <v>15</v>
      </c>
      <c r="J224" s="95">
        <f t="shared" si="52"/>
        <v>611260630.91199601</v>
      </c>
      <c r="K224" s="200">
        <f t="shared" si="53"/>
        <v>542409673.81475961</v>
      </c>
      <c r="L224" s="324">
        <f t="shared" si="54"/>
        <v>68850957.097236395</v>
      </c>
      <c r="M224" s="70"/>
    </row>
    <row r="225" spans="1:13" x14ac:dyDescent="0.25">
      <c r="A225" s="43">
        <v>15</v>
      </c>
      <c r="B225" s="200">
        <f t="shared" si="55"/>
        <v>5601.6718463880488</v>
      </c>
      <c r="C225" s="95">
        <f t="shared" si="56"/>
        <v>611260630.91199601</v>
      </c>
      <c r="D225" s="95">
        <f t="shared" si="57"/>
        <v>603029357.28808308</v>
      </c>
      <c r="E225" s="95">
        <f t="shared" si="58"/>
        <v>681278553.38376188</v>
      </c>
      <c r="I225" s="43">
        <v>16</v>
      </c>
      <c r="J225" s="95">
        <f t="shared" si="52"/>
        <v>629598449.83935571</v>
      </c>
      <c r="K225" s="200">
        <f t="shared" si="53"/>
        <v>558681964.02920222</v>
      </c>
      <c r="L225" s="324">
        <f t="shared" si="54"/>
        <v>70916485.810153484</v>
      </c>
      <c r="M225" s="70"/>
    </row>
    <row r="226" spans="1:13" x14ac:dyDescent="0.25">
      <c r="A226" s="43">
        <v>16</v>
      </c>
      <c r="B226" s="200">
        <f t="shared" si="55"/>
        <v>5769.722001779689</v>
      </c>
      <c r="C226" s="95">
        <f t="shared" si="56"/>
        <v>629598449.83935571</v>
      </c>
      <c r="D226" s="95">
        <f t="shared" si="57"/>
        <v>621120238.00672531</v>
      </c>
      <c r="E226" s="95">
        <f t="shared" si="58"/>
        <v>701716909.98527443</v>
      </c>
      <c r="I226" s="43">
        <v>17</v>
      </c>
      <c r="J226" s="95">
        <f t="shared" si="52"/>
        <v>648486403.33453655</v>
      </c>
      <c r="K226" s="200">
        <f t="shared" si="53"/>
        <v>575442422.95007825</v>
      </c>
      <c r="L226" s="324">
        <f t="shared" si="54"/>
        <v>73043980.384458303</v>
      </c>
      <c r="M226" s="70"/>
    </row>
    <row r="227" spans="1:13" x14ac:dyDescent="0.25">
      <c r="A227" s="43">
        <v>17</v>
      </c>
      <c r="B227" s="200">
        <f t="shared" si="55"/>
        <v>5942.81366183308</v>
      </c>
      <c r="C227" s="95">
        <f t="shared" si="56"/>
        <v>648486403.33453655</v>
      </c>
      <c r="D227" s="95">
        <f t="shared" si="57"/>
        <v>639753845.14692724</v>
      </c>
      <c r="E227" s="95">
        <f t="shared" si="58"/>
        <v>722768417.28483272</v>
      </c>
      <c r="I227" s="43">
        <v>18</v>
      </c>
      <c r="J227" s="95">
        <f t="shared" si="52"/>
        <v>667940995.43457246</v>
      </c>
      <c r="K227" s="200">
        <f t="shared" si="53"/>
        <v>592705695.63858068</v>
      </c>
      <c r="L227" s="324">
        <f t="shared" si="54"/>
        <v>75235299.795991778</v>
      </c>
      <c r="M227" s="70"/>
    </row>
    <row r="228" spans="1:13" x14ac:dyDescent="0.25">
      <c r="A228" s="43">
        <v>18</v>
      </c>
      <c r="B228" s="200">
        <f t="shared" si="55"/>
        <v>6121.0980716880722</v>
      </c>
      <c r="C228" s="95">
        <f t="shared" si="56"/>
        <v>667940995.43457246</v>
      </c>
      <c r="D228" s="95">
        <f t="shared" si="57"/>
        <v>658946460.50133502</v>
      </c>
      <c r="E228" s="95">
        <f t="shared" si="58"/>
        <v>744451469.80337775</v>
      </c>
      <c r="I228" s="43">
        <v>19</v>
      </c>
      <c r="J228" s="95">
        <f t="shared" si="52"/>
        <v>687979225.29760969</v>
      </c>
      <c r="K228" s="200">
        <f t="shared" si="53"/>
        <v>610486866.50773799</v>
      </c>
      <c r="L228" s="324">
        <f t="shared" si="54"/>
        <v>77492358.789871693</v>
      </c>
      <c r="M228" s="70"/>
    </row>
    <row r="229" spans="1:13" x14ac:dyDescent="0.25">
      <c r="A229" s="43">
        <v>19</v>
      </c>
      <c r="B229" s="200">
        <f t="shared" si="55"/>
        <v>6304.7310138387138</v>
      </c>
      <c r="C229" s="95">
        <f t="shared" si="56"/>
        <v>687979225.29760969</v>
      </c>
      <c r="D229" s="95">
        <f t="shared" si="57"/>
        <v>678714854.31637502</v>
      </c>
      <c r="E229" s="95">
        <f t="shared" si="58"/>
        <v>766785013.89747906</v>
      </c>
      <c r="I229" s="43">
        <v>20</v>
      </c>
      <c r="J229" s="95">
        <f t="shared" si="52"/>
        <v>708618602.05653799</v>
      </c>
      <c r="K229" s="200">
        <f t="shared" si="53"/>
        <v>628801472.50297022</v>
      </c>
      <c r="L229" s="324">
        <f t="shared" si="54"/>
        <v>79817129.553567767</v>
      </c>
      <c r="M229" s="70"/>
    </row>
    <row r="230" spans="1:13" x14ac:dyDescent="0.25">
      <c r="A230" s="43">
        <v>20</v>
      </c>
      <c r="B230" s="200">
        <f t="shared" si="55"/>
        <v>6493.8729442538752</v>
      </c>
      <c r="C230" s="95">
        <f t="shared" si="56"/>
        <v>708618602.05653799</v>
      </c>
      <c r="D230" s="95">
        <f t="shared" si="57"/>
        <v>699076299.94586623</v>
      </c>
      <c r="E230" s="95">
        <f t="shared" si="58"/>
        <v>789788564.31440341</v>
      </c>
      <c r="I230" s="43">
        <v>21</v>
      </c>
      <c r="J230" s="95">
        <f t="shared" si="52"/>
        <v>729877160.11823392</v>
      </c>
      <c r="K230" s="200">
        <f t="shared" si="53"/>
        <v>647665516.6780591</v>
      </c>
      <c r="L230" s="324">
        <f t="shared" si="54"/>
        <v>82211643.440174818</v>
      </c>
      <c r="M230" s="70"/>
    </row>
    <row r="231" spans="1:13" x14ac:dyDescent="0.25">
      <c r="A231" s="43">
        <v>21</v>
      </c>
      <c r="B231" s="200">
        <f t="shared" si="55"/>
        <v>6688.6891325814904</v>
      </c>
      <c r="C231" s="95">
        <f t="shared" si="56"/>
        <v>729877160.11823392</v>
      </c>
      <c r="D231" s="95">
        <f t="shared" si="57"/>
        <v>720048588.94424224</v>
      </c>
      <c r="E231" s="95">
        <f t="shared" si="58"/>
        <v>813482221.24383545</v>
      </c>
      <c r="I231" s="43">
        <v>22</v>
      </c>
      <c r="J231" s="95">
        <f t="shared" si="52"/>
        <v>751773474.92178106</v>
      </c>
      <c r="K231" s="200">
        <f t="shared" si="53"/>
        <v>667095482.17840111</v>
      </c>
      <c r="L231" s="324">
        <f t="shared" si="54"/>
        <v>84677992.743379951</v>
      </c>
      <c r="M231" s="70"/>
    </row>
    <row r="232" spans="1:13" x14ac:dyDescent="0.25">
      <c r="A232" s="43">
        <v>22</v>
      </c>
      <c r="B232" s="200">
        <f t="shared" si="55"/>
        <v>6889.3498065589365</v>
      </c>
      <c r="C232" s="95">
        <f t="shared" si="56"/>
        <v>751773474.92178106</v>
      </c>
      <c r="D232" s="95">
        <f t="shared" si="57"/>
        <v>741650046.61256957</v>
      </c>
      <c r="E232" s="95">
        <f t="shared" si="58"/>
        <v>837886687.88115048</v>
      </c>
      <c r="I232" s="43">
        <v>23</v>
      </c>
      <c r="J232" s="95">
        <f t="shared" si="52"/>
        <v>774326679.16943455</v>
      </c>
      <c r="K232" s="200">
        <f t="shared" si="53"/>
        <v>687108346.64375305</v>
      </c>
      <c r="L232" s="324">
        <f t="shared" si="54"/>
        <v>87218332.525681496</v>
      </c>
      <c r="M232" s="70"/>
    </row>
    <row r="233" spans="1:13" x14ac:dyDescent="0.25">
      <c r="A233" s="43">
        <v>23</v>
      </c>
      <c r="B233" s="200">
        <f t="shared" si="55"/>
        <v>7096.030300755705</v>
      </c>
      <c r="C233" s="95">
        <f t="shared" si="56"/>
        <v>774326679.16943455</v>
      </c>
      <c r="D233" s="95">
        <f t="shared" si="57"/>
        <v>763899548.01094663</v>
      </c>
      <c r="E233" s="95">
        <f t="shared" si="58"/>
        <v>863023288.51758516</v>
      </c>
      <c r="I233" s="43">
        <v>24</v>
      </c>
      <c r="J233" s="95">
        <f t="shared" si="52"/>
        <v>797556479.5445174</v>
      </c>
      <c r="K233" s="200">
        <f t="shared" si="53"/>
        <v>707721597.04306555</v>
      </c>
      <c r="L233" s="324">
        <f t="shared" si="54"/>
        <v>89834882.50145185</v>
      </c>
      <c r="M233" s="70"/>
    </row>
    <row r="234" spans="1:13" x14ac:dyDescent="0.25">
      <c r="A234" s="43">
        <v>24</v>
      </c>
      <c r="B234" s="200">
        <f t="shared" si="55"/>
        <v>7308.9112097783745</v>
      </c>
      <c r="C234" s="95">
        <f t="shared" si="56"/>
        <v>797556479.5445174</v>
      </c>
      <c r="D234" s="95">
        <f t="shared" si="57"/>
        <v>786816534.45127487</v>
      </c>
      <c r="E234" s="95">
        <f t="shared" si="58"/>
        <v>888913987.17311239</v>
      </c>
      <c r="I234" s="43">
        <v>25</v>
      </c>
      <c r="J234" s="95">
        <f t="shared" si="52"/>
        <v>821483173.93085289</v>
      </c>
      <c r="K234" s="200">
        <f t="shared" si="53"/>
        <v>728953244.95435762</v>
      </c>
      <c r="L234" s="324">
        <f t="shared" si="54"/>
        <v>92529928.976495266</v>
      </c>
      <c r="M234" s="70"/>
    </row>
    <row r="235" spans="1:13" x14ac:dyDescent="0.25">
      <c r="A235" s="43">
        <v>25</v>
      </c>
      <c r="B235" s="200">
        <f t="shared" si="55"/>
        <v>7528.1785460717256</v>
      </c>
      <c r="C235" s="95">
        <f t="shared" si="56"/>
        <v>821483173.93085289</v>
      </c>
      <c r="D235" s="95">
        <f t="shared" si="57"/>
        <v>810421030.48481309</v>
      </c>
      <c r="E235" s="95">
        <f t="shared" si="58"/>
        <v>915581406.78830588</v>
      </c>
      <c r="I235" s="43">
        <v>26</v>
      </c>
      <c r="J235" s="95">
        <f t="shared" si="52"/>
        <v>846127669.14877856</v>
      </c>
      <c r="K235" s="200">
        <f t="shared" si="53"/>
        <v>750821842.30298841</v>
      </c>
      <c r="L235" s="324">
        <f t="shared" si="54"/>
        <v>95305826.845790148</v>
      </c>
      <c r="M235" s="70"/>
    </row>
    <row r="236" spans="1:13" x14ac:dyDescent="0.25">
      <c r="A236" s="43">
        <v>26</v>
      </c>
      <c r="B236" s="200">
        <f t="shared" si="55"/>
        <v>7754.0239024538787</v>
      </c>
      <c r="C236" s="95">
        <f t="shared" si="56"/>
        <v>846127669.14877856</v>
      </c>
      <c r="D236" s="95">
        <f t="shared" si="57"/>
        <v>834733661.39935768</v>
      </c>
      <c r="E236" s="95">
        <f t="shared" si="58"/>
        <v>943048848.99195516</v>
      </c>
      <c r="I236" s="43">
        <v>27</v>
      </c>
      <c r="J236" s="95">
        <f t="shared" si="52"/>
        <v>871511499.22324181</v>
      </c>
      <c r="K236" s="200">
        <f t="shared" si="53"/>
        <v>773346497.57207787</v>
      </c>
      <c r="L236" s="324">
        <f t="shared" si="54"/>
        <v>98165001.651163936</v>
      </c>
      <c r="M236" s="70"/>
    </row>
    <row r="237" spans="1:13" x14ac:dyDescent="0.25">
      <c r="A237" s="43">
        <v>27</v>
      </c>
      <c r="B237" s="200">
        <f t="shared" si="55"/>
        <v>7986.6446195274939</v>
      </c>
      <c r="C237" s="95">
        <f t="shared" si="56"/>
        <v>871511499.22324181</v>
      </c>
      <c r="D237" s="95">
        <f t="shared" si="57"/>
        <v>859775671.24133813</v>
      </c>
      <c r="E237" s="95">
        <f t="shared" si="58"/>
        <v>971340314.46171367</v>
      </c>
      <c r="I237" s="43">
        <v>28</v>
      </c>
      <c r="J237" s="95">
        <f t="shared" si="52"/>
        <v>897656844.19993925</v>
      </c>
      <c r="K237" s="200">
        <f t="shared" si="53"/>
        <v>796546892.49924016</v>
      </c>
      <c r="L237" s="324">
        <f t="shared" si="54"/>
        <v>101109951.70069909</v>
      </c>
      <c r="M237" s="70"/>
    </row>
    <row r="238" spans="1:13" x14ac:dyDescent="0.25">
      <c r="A238" s="43">
        <v>28</v>
      </c>
      <c r="B238" s="200">
        <f t="shared" si="55"/>
        <v>8226.2439581133185</v>
      </c>
      <c r="C238" s="95">
        <f t="shared" si="56"/>
        <v>897656844.19993925</v>
      </c>
      <c r="D238" s="95">
        <f t="shared" si="57"/>
        <v>885568941.37857831</v>
      </c>
      <c r="E238" s="95">
        <f t="shared" si="58"/>
        <v>1000480523.8955652</v>
      </c>
      <c r="I238" s="43">
        <v>29</v>
      </c>
      <c r="J238" s="95">
        <f t="shared" si="52"/>
        <v>924586549.52593744</v>
      </c>
      <c r="K238" s="200">
        <f t="shared" si="53"/>
        <v>820443299.27421749</v>
      </c>
      <c r="L238" s="324">
        <f t="shared" si="54"/>
        <v>104143250.25171995</v>
      </c>
      <c r="M238" s="70"/>
    </row>
    <row r="239" spans="1:13" x14ac:dyDescent="0.25">
      <c r="A239" s="43">
        <v>29</v>
      </c>
      <c r="B239" s="200">
        <f t="shared" si="55"/>
        <v>8473.0312768567183</v>
      </c>
      <c r="C239" s="95">
        <f t="shared" si="56"/>
        <v>924586549.52593744</v>
      </c>
      <c r="D239" s="95">
        <f t="shared" si="57"/>
        <v>912136009.61993575</v>
      </c>
      <c r="E239" s="95">
        <f t="shared" si="58"/>
        <v>1030494939.6124319</v>
      </c>
      <c r="I239" s="43">
        <v>30</v>
      </c>
      <c r="J239" s="95">
        <f t="shared" si="52"/>
        <v>952324146.01171541</v>
      </c>
      <c r="K239" s="200">
        <f t="shared" si="53"/>
        <v>845056598.25244403</v>
      </c>
      <c r="L239" s="324">
        <f t="shared" si="54"/>
        <v>107267547.75927138</v>
      </c>
      <c r="M239" s="70"/>
    </row>
    <row r="240" spans="1:13" x14ac:dyDescent="0.25">
      <c r="A240" s="43">
        <v>30</v>
      </c>
      <c r="B240" s="200">
        <f t="shared" si="55"/>
        <v>8727.2222151624192</v>
      </c>
      <c r="C240" s="95">
        <f t="shared" si="56"/>
        <v>952324146.01171541</v>
      </c>
      <c r="D240" s="95">
        <f t="shared" si="57"/>
        <v>939500089.90853369</v>
      </c>
      <c r="E240" s="95">
        <f t="shared" si="58"/>
        <v>1061409787.800805</v>
      </c>
      <c r="I240" s="43">
        <v>31</v>
      </c>
      <c r="J240" s="95">
        <f t="shared" si="52"/>
        <v>980893870.39206696</v>
      </c>
      <c r="K240" s="200">
        <f t="shared" si="53"/>
        <v>870408296.20001745</v>
      </c>
      <c r="L240" s="324">
        <f t="shared" si="54"/>
        <v>110485574.1920495</v>
      </c>
    </row>
    <row r="241" spans="1:12" x14ac:dyDescent="0.25">
      <c r="A241" s="43">
        <v>31</v>
      </c>
      <c r="B241" s="200">
        <f t="shared" si="55"/>
        <v>8989.0388816172926</v>
      </c>
      <c r="C241" s="95">
        <f t="shared" si="56"/>
        <v>980893870.39206696</v>
      </c>
      <c r="D241" s="95">
        <f t="shared" si="57"/>
        <v>967685092.60578978</v>
      </c>
      <c r="E241" s="95">
        <f t="shared" si="58"/>
        <v>1093252081.4348292</v>
      </c>
      <c r="I241" s="43">
        <v>32</v>
      </c>
      <c r="J241" s="95">
        <f t="shared" si="52"/>
        <v>1010320686.5038289</v>
      </c>
      <c r="K241" s="200">
        <f t="shared" si="53"/>
        <v>896520545.08601773</v>
      </c>
      <c r="L241" s="324">
        <f t="shared" si="54"/>
        <v>113800141.41781116</v>
      </c>
    </row>
    <row r="242" spans="1:12" x14ac:dyDescent="0.25">
      <c r="A242" s="43">
        <v>32</v>
      </c>
      <c r="B242" s="200">
        <f t="shared" si="55"/>
        <v>9258.71004806581</v>
      </c>
      <c r="C242" s="95">
        <f t="shared" si="56"/>
        <v>1010320686.5038289</v>
      </c>
      <c r="D242" s="95">
        <f t="shared" si="57"/>
        <v>996715645.38396347</v>
      </c>
      <c r="E242" s="95">
        <f t="shared" si="58"/>
        <v>1126049643.8778739</v>
      </c>
    </row>
    <row r="245" spans="1:12" x14ac:dyDescent="0.25">
      <c r="A245" t="s">
        <v>251</v>
      </c>
    </row>
    <row r="247" spans="1:12" x14ac:dyDescent="0.25">
      <c r="A247" s="269" t="s">
        <v>252</v>
      </c>
    </row>
    <row r="248" spans="1:12" ht="15.75" thickBot="1" x14ac:dyDescent="0.3">
      <c r="A248" s="269" t="s">
        <v>253</v>
      </c>
      <c r="F248" s="285"/>
      <c r="G248" s="285"/>
      <c r="H248" s="285"/>
    </row>
    <row r="249" spans="1:12" ht="16.5" thickTop="1" thickBot="1" x14ac:dyDescent="0.3">
      <c r="A249" s="303" t="s">
        <v>237</v>
      </c>
      <c r="B249" s="276" t="s">
        <v>233</v>
      </c>
      <c r="C249" s="276" t="s">
        <v>234</v>
      </c>
      <c r="D249" s="277" t="s">
        <v>235</v>
      </c>
      <c r="F249" t="s">
        <v>239</v>
      </c>
    </row>
    <row r="250" spans="1:12" x14ac:dyDescent="0.25">
      <c r="A250" s="304">
        <v>2</v>
      </c>
      <c r="B250" s="278">
        <v>80.14</v>
      </c>
      <c r="C250" s="278">
        <v>62.78</v>
      </c>
      <c r="D250" s="305">
        <v>47.79</v>
      </c>
      <c r="F250" s="284" t="s">
        <v>237</v>
      </c>
      <c r="G250" s="292" t="s">
        <v>233</v>
      </c>
      <c r="H250" s="292" t="s">
        <v>234</v>
      </c>
      <c r="I250" s="293" t="s">
        <v>235</v>
      </c>
    </row>
    <row r="251" spans="1:12" x14ac:dyDescent="0.25">
      <c r="A251" s="304">
        <v>3</v>
      </c>
      <c r="B251" s="306">
        <f>(B250+B252)/2</f>
        <v>79.375</v>
      </c>
      <c r="C251" s="306">
        <f>(C250+C252)/2</f>
        <v>62.45</v>
      </c>
      <c r="D251" s="306">
        <f>(D250+D252)/2</f>
        <v>47.655000000000001</v>
      </c>
      <c r="E251" s="60"/>
      <c r="F251" s="301">
        <v>2</v>
      </c>
      <c r="G251" s="302">
        <f>0.000135*(F251)^3-0.002*(F251)^2+0.036*(F251)+1.046</f>
        <v>1.1110800000000001</v>
      </c>
      <c r="H251" s="302">
        <f>0.000135*(F251)^3-0.002*(F251)^2+0.04*(F251)+1.296</f>
        <v>1.3690800000000001</v>
      </c>
      <c r="I251" s="302">
        <f>0.00095*(F251)^2+0.022*(F251)+1.64</f>
        <v>1.6878</v>
      </c>
    </row>
    <row r="252" spans="1:12" x14ac:dyDescent="0.25">
      <c r="A252" s="304">
        <v>4</v>
      </c>
      <c r="B252" s="278">
        <v>78.61</v>
      </c>
      <c r="C252" s="278">
        <v>62.12</v>
      </c>
      <c r="D252" s="305">
        <v>47.52</v>
      </c>
      <c r="F252" s="285"/>
      <c r="G252" s="285"/>
      <c r="H252" s="285"/>
    </row>
    <row r="253" spans="1:12" x14ac:dyDescent="0.25">
      <c r="A253" s="304">
        <v>5</v>
      </c>
      <c r="B253" s="306">
        <f>(B252+B254)/2</f>
        <v>76.525000000000006</v>
      </c>
      <c r="C253" s="306">
        <f>(C252+C254)/2</f>
        <v>61.284999999999997</v>
      </c>
      <c r="D253" s="306">
        <f>(D252+D254)/2</f>
        <v>47.230000000000004</v>
      </c>
      <c r="F253" s="285"/>
      <c r="G253" s="285"/>
      <c r="H253" s="285"/>
    </row>
    <row r="254" spans="1:12" x14ac:dyDescent="0.25">
      <c r="A254" s="304">
        <v>6</v>
      </c>
      <c r="B254" s="278">
        <v>74.44</v>
      </c>
      <c r="C254" s="278">
        <v>60.45</v>
      </c>
      <c r="D254" s="305">
        <v>46.94</v>
      </c>
      <c r="F254" s="104" t="s">
        <v>254</v>
      </c>
      <c r="G254" s="104"/>
      <c r="H254" s="310"/>
    </row>
    <row r="255" spans="1:12" x14ac:dyDescent="0.25">
      <c r="A255" s="304">
        <v>7</v>
      </c>
      <c r="B255" s="306">
        <f>(B254+B256)/2</f>
        <v>71.034999999999997</v>
      </c>
      <c r="C255" s="306">
        <f>(C254+C256)/2</f>
        <v>58.915000000000006</v>
      </c>
      <c r="D255" s="306">
        <f>(D254+D256)/2</f>
        <v>46.379999999999995</v>
      </c>
      <c r="F255" s="35" t="s">
        <v>255</v>
      </c>
      <c r="G255" s="35">
        <v>85</v>
      </c>
      <c r="H255" s="108"/>
    </row>
    <row r="256" spans="1:12" x14ac:dyDescent="0.25">
      <c r="A256" s="304">
        <v>8</v>
      </c>
      <c r="B256" s="278">
        <v>67.63</v>
      </c>
      <c r="C256" s="278">
        <v>57.38</v>
      </c>
      <c r="D256" s="305">
        <v>45.82</v>
      </c>
      <c r="F256" s="35" t="s">
        <v>256</v>
      </c>
      <c r="G256" s="35">
        <v>80</v>
      </c>
      <c r="H256" s="108"/>
    </row>
    <row r="257" spans="1:14" x14ac:dyDescent="0.25">
      <c r="A257" s="304">
        <v>9</v>
      </c>
      <c r="B257" s="306">
        <f>(B256+B258)/2</f>
        <v>63.724999999999994</v>
      </c>
      <c r="C257" s="306">
        <f>(C256+C258)/2</f>
        <v>55.260000000000005</v>
      </c>
      <c r="D257" s="306">
        <f>(D256+D258)/2</f>
        <v>44.945</v>
      </c>
      <c r="F257" s="35" t="s">
        <v>257</v>
      </c>
      <c r="G257" s="309">
        <f>G256/G255</f>
        <v>0.94117647058823528</v>
      </c>
      <c r="H257" s="108"/>
    </row>
    <row r="258" spans="1:14" x14ac:dyDescent="0.25">
      <c r="A258" s="304">
        <v>10</v>
      </c>
      <c r="B258" s="278">
        <v>59.82</v>
      </c>
      <c r="C258" s="278">
        <v>53.14</v>
      </c>
      <c r="D258" s="305">
        <v>44.07</v>
      </c>
    </row>
    <row r="259" spans="1:14" x14ac:dyDescent="0.25">
      <c r="A259" s="304">
        <v>11</v>
      </c>
      <c r="B259" s="306">
        <f>(B258+B260)/2</f>
        <v>56.16</v>
      </c>
      <c r="C259" s="306">
        <f>(C258+C260)/2</f>
        <v>50.769999999999996</v>
      </c>
      <c r="D259" s="306">
        <f>(D258+D260)/2</f>
        <v>42.92</v>
      </c>
      <c r="F259" s="285"/>
      <c r="G259" s="285"/>
      <c r="H259" s="285"/>
    </row>
    <row r="260" spans="1:14" ht="15.75" thickBot="1" x14ac:dyDescent="0.3">
      <c r="A260" s="307">
        <v>12</v>
      </c>
      <c r="B260" s="283">
        <v>52.5</v>
      </c>
      <c r="C260" s="283">
        <v>48.4</v>
      </c>
      <c r="D260" s="308">
        <v>41.77</v>
      </c>
    </row>
    <row r="263" spans="1:14" x14ac:dyDescent="0.25">
      <c r="A263" s="239" t="s">
        <v>241</v>
      </c>
      <c r="B263" s="239"/>
    </row>
    <row r="264" spans="1:14" x14ac:dyDescent="0.25">
      <c r="A264" t="s">
        <v>258</v>
      </c>
      <c r="C264" t="s">
        <v>227</v>
      </c>
    </row>
    <row r="265" spans="1:14" x14ac:dyDescent="0.25">
      <c r="A265" s="43" t="s">
        <v>228</v>
      </c>
      <c r="B265" s="43">
        <v>11.23</v>
      </c>
    </row>
    <row r="266" spans="1:14" x14ac:dyDescent="0.25">
      <c r="A266" s="43" t="s">
        <v>99</v>
      </c>
      <c r="B266" s="169" t="str">
        <f>B20</f>
        <v>P</v>
      </c>
      <c r="C266" s="575" t="s">
        <v>229</v>
      </c>
      <c r="D266" s="575"/>
      <c r="E266" s="575"/>
      <c r="F266" s="575" t="s">
        <v>230</v>
      </c>
      <c r="G266" s="576"/>
      <c r="H266" s="576"/>
      <c r="I266" s="575" t="s">
        <v>231</v>
      </c>
      <c r="J266" s="575"/>
      <c r="K266" s="575"/>
      <c r="L266" s="575" t="s">
        <v>240</v>
      </c>
      <c r="M266" s="575"/>
      <c r="N266" s="575"/>
    </row>
    <row r="267" spans="1:14" x14ac:dyDescent="0.25">
      <c r="A267" s="35" t="s">
        <v>18</v>
      </c>
      <c r="B267" s="95" t="s">
        <v>20</v>
      </c>
      <c r="C267" s="270" t="s">
        <v>233</v>
      </c>
      <c r="D267" s="270" t="s">
        <v>234</v>
      </c>
      <c r="E267" s="270" t="s">
        <v>235</v>
      </c>
      <c r="F267" s="270" t="s">
        <v>233</v>
      </c>
      <c r="G267" s="270" t="s">
        <v>234</v>
      </c>
      <c r="H267" s="270" t="s">
        <v>235</v>
      </c>
      <c r="I267" s="270" t="s">
        <v>233</v>
      </c>
      <c r="J267" s="270" t="s">
        <v>234</v>
      </c>
      <c r="K267" s="270" t="s">
        <v>235</v>
      </c>
      <c r="L267" s="270" t="s">
        <v>233</v>
      </c>
      <c r="M267" s="270" t="s">
        <v>234</v>
      </c>
      <c r="N267" s="270" t="s">
        <v>235</v>
      </c>
    </row>
    <row r="268" spans="1:14" x14ac:dyDescent="0.25">
      <c r="A268" s="271">
        <v>0</v>
      </c>
      <c r="B268" s="272">
        <f>B22*'CO '!$G$257</f>
        <v>78.117647058823522</v>
      </c>
      <c r="C268" s="273">
        <f>B268</f>
        <v>78.117647058823522</v>
      </c>
      <c r="D268" s="273">
        <f>C268</f>
        <v>78.117647058823522</v>
      </c>
      <c r="E268" s="273">
        <f>D268</f>
        <v>78.117647058823522</v>
      </c>
      <c r="F268" s="266">
        <f>IF(C268&gt;$B$250,$A$250,IF(C268&gt;$B$251,$A$251,IF(C268&gt;$B$252,$A$252,IF(C268&gt;$B$253,$A$253,IF(C268&gt;$B$254,$A$254,IF(C268&gt;$B$255,$A$255,IF(C268&gt;$B$256,$A$256,IF(C268&gt;$B$257,$A$257,IF(C268&gt;$B$258,$A$258,IF(C268&gt;$B$259,$A$259,IF(C268&gt;$B$260,$A$260,12)))))))))))</f>
        <v>5</v>
      </c>
      <c r="G268" s="266">
        <f>IF(D268&gt;$C$250,$A$250,IF(D268&gt;$C$251,$A$251,IF(D268&gt;$C$252,$A$252,IF(D268&gt;$C$253,$A$253,IF(D268&gt;$C$254,$A$254,IF(D268&gt;$C$255,$A$255,IF(D268&gt;$C$256,$A$256,IF(D268&gt;$C$257,$A$257,IF(D268&gt;$C$258,$A$258,IF(D268&gt;$C$259,$A$259,IF(D268&gt;$C$260,$A$260,12)))))))))))</f>
        <v>2</v>
      </c>
      <c r="H268" s="266">
        <f>IF(E268&gt;$D$250,$A$250,IF(E268&gt;$D$251,$A$251,IF(E268&gt;$D$252,$A$252,IF(E268&gt;$D$253,$A$253,IF(E268&gt;$D$254,$A$254,IF(E268&gt;$D$255,$A$255,IF(E268&gt;$D$256,$A$256,IF(E268&gt;$D$257,$A$257,IF(E268&gt;$D$258,$A$258,IF(E268&gt;$D$259,$A$259,IF(E268&gt;$D$260,$A$260,12)))))))))))</f>
        <v>2</v>
      </c>
      <c r="I268" s="312">
        <f>0.000135*(F268)^3-0.002*(F268)^2+0.036*(F268)+1.046</f>
        <v>1.1928749999999999</v>
      </c>
      <c r="J268" s="312">
        <f>0.000135*(G268)^3-0.002*(G268)^2+0.04*(G268)+1.296</f>
        <v>1.3690800000000001</v>
      </c>
      <c r="K268" s="312">
        <f>0.00095*(H268)^2+0.022*(H268)+1.64</f>
        <v>1.6878</v>
      </c>
      <c r="L268" s="204">
        <f>$B$265*I268</f>
        <v>13.39598625</v>
      </c>
      <c r="M268" s="204">
        <f>$B$265*J268</f>
        <v>15.374768400000001</v>
      </c>
      <c r="N268" s="204">
        <f>$B$265*K268</f>
        <v>18.953994000000002</v>
      </c>
    </row>
    <row r="269" spans="1:14" x14ac:dyDescent="0.25">
      <c r="A269" s="271">
        <v>1</v>
      </c>
      <c r="B269" s="272">
        <f>B23*'CO '!$G$257</f>
        <v>78.117647058823522</v>
      </c>
      <c r="C269" s="273">
        <f t="shared" ref="C269:C300" si="59">B269</f>
        <v>78.117647058823522</v>
      </c>
      <c r="D269" s="311">
        <f t="shared" ref="D269:D298" si="60">C269</f>
        <v>78.117647058823522</v>
      </c>
      <c r="E269" s="311">
        <f t="shared" ref="E269:E298" si="61">D269</f>
        <v>78.117647058823522</v>
      </c>
      <c r="F269" s="266">
        <f t="shared" ref="F269:F300" si="62">IF(C269&gt;$B$250,$A$250,IF(C269&gt;$B$251,$A$251,IF(C269&gt;$B$252,$A$252,IF(C269&gt;$B$253,$A$253,IF(C269&gt;$B$254,$A$254,IF(C269&gt;$B$255,$A$255,IF(C269&gt;$B$256,$A$256,IF(C269&gt;$B$257,$A$257,IF(C269&gt;$B$258,$A$258,IF(C269&gt;$B$259,$A$259,IF(C269&gt;$B$260,$A$260,12)))))))))))</f>
        <v>5</v>
      </c>
      <c r="G269" s="266">
        <f t="shared" ref="G269:G300" si="63">IF(D269&gt;$C$250,$A$250,IF(D269&gt;$C$251,$A$251,IF(D269&gt;$C$252,$A$252,IF(D269&gt;$C$253,$A$253,IF(D269&gt;$C$254,$A$254,IF(D269&gt;$C$255,$A$255,IF(D269&gt;$C$256,$A$256,IF(D269&gt;$C$257,$A$257,IF(D269&gt;$C$258,$A$258,IF(D269&gt;$C$259,$A$259,IF(D269&gt;$C$260,$A$260,12)))))))))))</f>
        <v>2</v>
      </c>
      <c r="H269" s="266">
        <f t="shared" ref="H269:H300" si="64">IF(E269&gt;$D$250,$A$250,IF(E269&gt;$D$251,$A$251,IF(E269&gt;$D$252,$A$252,IF(E269&gt;$D$253,$A$253,IF(E269&gt;$D$254,$A$254,IF(E269&gt;$D$255,$A$255,IF(E269&gt;$D$256,$A$256,IF(E269&gt;$D$257,$A$257,IF(E269&gt;$D$258,$A$258,IF(E269&gt;$D$259,$A$259,IF(E269&gt;$D$260,$A$260,12)))))))))))</f>
        <v>2</v>
      </c>
      <c r="I269" s="312">
        <f t="shared" ref="I269:I298" si="65">0.000135*(F269)^3-0.002*(F269)^2+0.036*(F269)+1.046</f>
        <v>1.1928749999999999</v>
      </c>
      <c r="J269" s="312">
        <f t="shared" ref="J269:J298" si="66">0.000135*(G269)^3-0.002*(G269)^2+0.04*(G269)+1.296</f>
        <v>1.3690800000000001</v>
      </c>
      <c r="K269" s="312">
        <f t="shared" ref="K269:K298" si="67">0.00095*(H269)^2+0.022*(H269)+1.64</f>
        <v>1.6878</v>
      </c>
      <c r="L269" s="204">
        <f t="shared" ref="L269:L298" si="68">$B$265*I269</f>
        <v>13.39598625</v>
      </c>
      <c r="M269" s="204">
        <f t="shared" ref="M269:M298" si="69">$B$265*J269</f>
        <v>15.374768400000001</v>
      </c>
      <c r="N269" s="204">
        <f t="shared" ref="N269:N298" si="70">$B$265*K269</f>
        <v>18.953994000000002</v>
      </c>
    </row>
    <row r="270" spans="1:14" x14ac:dyDescent="0.25">
      <c r="A270" s="271">
        <v>2</v>
      </c>
      <c r="B270" s="272">
        <f>B24*'CO '!$G$257</f>
        <v>78.117647058823522</v>
      </c>
      <c r="C270" s="273">
        <f t="shared" si="59"/>
        <v>78.117647058823522</v>
      </c>
      <c r="D270" s="273">
        <f>C270</f>
        <v>78.117647058823522</v>
      </c>
      <c r="E270" s="273">
        <f>D270</f>
        <v>78.117647058823522</v>
      </c>
      <c r="F270" s="266">
        <f t="shared" si="62"/>
        <v>5</v>
      </c>
      <c r="G270" s="266">
        <f t="shared" si="63"/>
        <v>2</v>
      </c>
      <c r="H270" s="266">
        <f t="shared" si="64"/>
        <v>2</v>
      </c>
      <c r="I270" s="312">
        <f t="shared" si="65"/>
        <v>1.1928749999999999</v>
      </c>
      <c r="J270" s="312">
        <f t="shared" si="66"/>
        <v>1.3690800000000001</v>
      </c>
      <c r="K270" s="312">
        <f t="shared" si="67"/>
        <v>1.6878</v>
      </c>
      <c r="L270" s="204">
        <f t="shared" si="68"/>
        <v>13.39598625</v>
      </c>
      <c r="M270" s="204">
        <f t="shared" si="69"/>
        <v>15.374768400000001</v>
      </c>
      <c r="N270" s="204">
        <f t="shared" si="70"/>
        <v>18.953994000000002</v>
      </c>
    </row>
    <row r="271" spans="1:14" x14ac:dyDescent="0.25">
      <c r="A271" s="271">
        <v>3</v>
      </c>
      <c r="B271" s="272">
        <f>B25*'CO '!$G$257</f>
        <v>78.117647058823522</v>
      </c>
      <c r="C271" s="273">
        <f t="shared" si="59"/>
        <v>78.117647058823522</v>
      </c>
      <c r="D271" s="273">
        <f t="shared" si="60"/>
        <v>78.117647058823522</v>
      </c>
      <c r="E271" s="273">
        <f t="shared" si="61"/>
        <v>78.117647058823522</v>
      </c>
      <c r="F271" s="266">
        <f t="shared" si="62"/>
        <v>5</v>
      </c>
      <c r="G271" s="266">
        <f t="shared" si="63"/>
        <v>2</v>
      </c>
      <c r="H271" s="266">
        <f t="shared" si="64"/>
        <v>2</v>
      </c>
      <c r="I271" s="312">
        <f t="shared" si="65"/>
        <v>1.1928749999999999</v>
      </c>
      <c r="J271" s="312">
        <f t="shared" si="66"/>
        <v>1.3690800000000001</v>
      </c>
      <c r="K271" s="312">
        <f t="shared" si="67"/>
        <v>1.6878</v>
      </c>
      <c r="L271" s="204">
        <f t="shared" si="68"/>
        <v>13.39598625</v>
      </c>
      <c r="M271" s="204">
        <f t="shared" si="69"/>
        <v>15.374768400000001</v>
      </c>
      <c r="N271" s="204">
        <f t="shared" si="70"/>
        <v>18.953994000000002</v>
      </c>
    </row>
    <row r="272" spans="1:14" x14ac:dyDescent="0.25">
      <c r="A272" s="271">
        <v>4</v>
      </c>
      <c r="B272" s="272">
        <f>B26*'CO '!$G$257</f>
        <v>78.117647058823522</v>
      </c>
      <c r="C272" s="273">
        <f t="shared" si="59"/>
        <v>78.117647058823522</v>
      </c>
      <c r="D272" s="273">
        <f t="shared" si="60"/>
        <v>78.117647058823522</v>
      </c>
      <c r="E272" s="273">
        <f t="shared" si="61"/>
        <v>78.117647058823522</v>
      </c>
      <c r="F272" s="266">
        <f t="shared" si="62"/>
        <v>5</v>
      </c>
      <c r="G272" s="266">
        <f t="shared" si="63"/>
        <v>2</v>
      </c>
      <c r="H272" s="266">
        <f t="shared" si="64"/>
        <v>2</v>
      </c>
      <c r="I272" s="312">
        <f t="shared" si="65"/>
        <v>1.1928749999999999</v>
      </c>
      <c r="J272" s="312">
        <f t="shared" si="66"/>
        <v>1.3690800000000001</v>
      </c>
      <c r="K272" s="312">
        <f t="shared" si="67"/>
        <v>1.6878</v>
      </c>
      <c r="L272" s="204">
        <f t="shared" si="68"/>
        <v>13.39598625</v>
      </c>
      <c r="M272" s="204">
        <f t="shared" si="69"/>
        <v>15.374768400000001</v>
      </c>
      <c r="N272" s="204">
        <f t="shared" si="70"/>
        <v>18.953994000000002</v>
      </c>
    </row>
    <row r="273" spans="1:14" x14ac:dyDescent="0.25">
      <c r="A273" s="271">
        <v>5</v>
      </c>
      <c r="B273" s="272">
        <f>B27*'CO '!$G$257</f>
        <v>78.117647058823522</v>
      </c>
      <c r="C273" s="273">
        <f t="shared" si="59"/>
        <v>78.117647058823522</v>
      </c>
      <c r="D273" s="273">
        <f t="shared" si="60"/>
        <v>78.117647058823522</v>
      </c>
      <c r="E273" s="273">
        <f t="shared" si="61"/>
        <v>78.117647058823522</v>
      </c>
      <c r="F273" s="266">
        <f t="shared" si="62"/>
        <v>5</v>
      </c>
      <c r="G273" s="266">
        <f t="shared" si="63"/>
        <v>2</v>
      </c>
      <c r="H273" s="266">
        <f t="shared" si="64"/>
        <v>2</v>
      </c>
      <c r="I273" s="312">
        <f t="shared" si="65"/>
        <v>1.1928749999999999</v>
      </c>
      <c r="J273" s="312">
        <f t="shared" si="66"/>
        <v>1.3690800000000001</v>
      </c>
      <c r="K273" s="312">
        <f t="shared" si="67"/>
        <v>1.6878</v>
      </c>
      <c r="L273" s="204">
        <f t="shared" si="68"/>
        <v>13.39598625</v>
      </c>
      <c r="M273" s="204">
        <f t="shared" si="69"/>
        <v>15.374768400000001</v>
      </c>
      <c r="N273" s="204">
        <f t="shared" si="70"/>
        <v>18.953994000000002</v>
      </c>
    </row>
    <row r="274" spans="1:14" x14ac:dyDescent="0.25">
      <c r="A274" s="271">
        <v>6</v>
      </c>
      <c r="B274" s="272">
        <f>B28*'CO '!$G$257</f>
        <v>78.117647058823522</v>
      </c>
      <c r="C274" s="273">
        <f t="shared" si="59"/>
        <v>78.117647058823522</v>
      </c>
      <c r="D274" s="273">
        <f t="shared" si="60"/>
        <v>78.117647058823522</v>
      </c>
      <c r="E274" s="273">
        <f t="shared" si="61"/>
        <v>78.117647058823522</v>
      </c>
      <c r="F274" s="266">
        <f t="shared" si="62"/>
        <v>5</v>
      </c>
      <c r="G274" s="266">
        <f t="shared" si="63"/>
        <v>2</v>
      </c>
      <c r="H274" s="266">
        <f t="shared" si="64"/>
        <v>2</v>
      </c>
      <c r="I274" s="312">
        <f t="shared" si="65"/>
        <v>1.1928749999999999</v>
      </c>
      <c r="J274" s="312">
        <f t="shared" si="66"/>
        <v>1.3690800000000001</v>
      </c>
      <c r="K274" s="312">
        <f t="shared" si="67"/>
        <v>1.6878</v>
      </c>
      <c r="L274" s="204">
        <f t="shared" si="68"/>
        <v>13.39598625</v>
      </c>
      <c r="M274" s="204">
        <f t="shared" si="69"/>
        <v>15.374768400000001</v>
      </c>
      <c r="N274" s="204">
        <f t="shared" si="70"/>
        <v>18.953994000000002</v>
      </c>
    </row>
    <row r="275" spans="1:14" x14ac:dyDescent="0.25">
      <c r="A275" s="271">
        <v>7</v>
      </c>
      <c r="B275" s="272">
        <f>B29*'CO '!$G$257</f>
        <v>78.117647058823522</v>
      </c>
      <c r="C275" s="273">
        <f t="shared" si="59"/>
        <v>78.117647058823522</v>
      </c>
      <c r="D275" s="273">
        <f t="shared" si="60"/>
        <v>78.117647058823522</v>
      </c>
      <c r="E275" s="273">
        <f t="shared" si="61"/>
        <v>78.117647058823522</v>
      </c>
      <c r="F275" s="266">
        <f t="shared" si="62"/>
        <v>5</v>
      </c>
      <c r="G275" s="266">
        <f t="shared" si="63"/>
        <v>2</v>
      </c>
      <c r="H275" s="266">
        <f t="shared" si="64"/>
        <v>2</v>
      </c>
      <c r="I275" s="312">
        <f t="shared" si="65"/>
        <v>1.1928749999999999</v>
      </c>
      <c r="J275" s="312">
        <f t="shared" si="66"/>
        <v>1.3690800000000001</v>
      </c>
      <c r="K275" s="312">
        <f t="shared" si="67"/>
        <v>1.6878</v>
      </c>
      <c r="L275" s="204">
        <f t="shared" si="68"/>
        <v>13.39598625</v>
      </c>
      <c r="M275" s="204">
        <f t="shared" si="69"/>
        <v>15.374768400000001</v>
      </c>
      <c r="N275" s="204">
        <f t="shared" si="70"/>
        <v>18.953994000000002</v>
      </c>
    </row>
    <row r="276" spans="1:14" x14ac:dyDescent="0.25">
      <c r="A276" s="271">
        <v>8</v>
      </c>
      <c r="B276" s="272">
        <f>B30*'CO '!$G$257</f>
        <v>78.117647058823522</v>
      </c>
      <c r="C276" s="273">
        <f t="shared" si="59"/>
        <v>78.117647058823522</v>
      </c>
      <c r="D276" s="273">
        <f t="shared" si="60"/>
        <v>78.117647058823522</v>
      </c>
      <c r="E276" s="273">
        <f t="shared" si="61"/>
        <v>78.117647058823522</v>
      </c>
      <c r="F276" s="266">
        <f t="shared" si="62"/>
        <v>5</v>
      </c>
      <c r="G276" s="266">
        <f t="shared" si="63"/>
        <v>2</v>
      </c>
      <c r="H276" s="266">
        <f t="shared" si="64"/>
        <v>2</v>
      </c>
      <c r="I276" s="312">
        <f t="shared" si="65"/>
        <v>1.1928749999999999</v>
      </c>
      <c r="J276" s="312">
        <f t="shared" si="66"/>
        <v>1.3690800000000001</v>
      </c>
      <c r="K276" s="312">
        <f t="shared" si="67"/>
        <v>1.6878</v>
      </c>
      <c r="L276" s="204">
        <f t="shared" si="68"/>
        <v>13.39598625</v>
      </c>
      <c r="M276" s="204">
        <f t="shared" si="69"/>
        <v>15.374768400000001</v>
      </c>
      <c r="N276" s="204">
        <f t="shared" si="70"/>
        <v>18.953994000000002</v>
      </c>
    </row>
    <row r="277" spans="1:14" x14ac:dyDescent="0.25">
      <c r="A277" s="271">
        <v>9</v>
      </c>
      <c r="B277" s="272">
        <f>B31*'CO '!$G$257</f>
        <v>78.117647058823522</v>
      </c>
      <c r="C277" s="273">
        <f t="shared" si="59"/>
        <v>78.117647058823522</v>
      </c>
      <c r="D277" s="273">
        <f t="shared" si="60"/>
        <v>78.117647058823522</v>
      </c>
      <c r="E277" s="273">
        <f t="shared" si="61"/>
        <v>78.117647058823522</v>
      </c>
      <c r="F277" s="266">
        <f t="shared" si="62"/>
        <v>5</v>
      </c>
      <c r="G277" s="266">
        <f t="shared" si="63"/>
        <v>2</v>
      </c>
      <c r="H277" s="266">
        <f t="shared" si="64"/>
        <v>2</v>
      </c>
      <c r="I277" s="312">
        <f t="shared" si="65"/>
        <v>1.1928749999999999</v>
      </c>
      <c r="J277" s="312">
        <f t="shared" si="66"/>
        <v>1.3690800000000001</v>
      </c>
      <c r="K277" s="312">
        <f t="shared" si="67"/>
        <v>1.6878</v>
      </c>
      <c r="L277" s="204">
        <f t="shared" si="68"/>
        <v>13.39598625</v>
      </c>
      <c r="M277" s="204">
        <f t="shared" si="69"/>
        <v>15.374768400000001</v>
      </c>
      <c r="N277" s="204">
        <f t="shared" si="70"/>
        <v>18.953994000000002</v>
      </c>
    </row>
    <row r="278" spans="1:14" x14ac:dyDescent="0.25">
      <c r="A278" s="271">
        <v>10</v>
      </c>
      <c r="B278" s="272">
        <f>B32*'CO '!$G$257</f>
        <v>78.117647058823522</v>
      </c>
      <c r="C278" s="273">
        <f t="shared" si="59"/>
        <v>78.117647058823522</v>
      </c>
      <c r="D278" s="273">
        <f t="shared" si="60"/>
        <v>78.117647058823522</v>
      </c>
      <c r="E278" s="273">
        <f t="shared" si="61"/>
        <v>78.117647058823522</v>
      </c>
      <c r="F278" s="266">
        <f t="shared" si="62"/>
        <v>5</v>
      </c>
      <c r="G278" s="266">
        <f t="shared" si="63"/>
        <v>2</v>
      </c>
      <c r="H278" s="266">
        <f t="shared" si="64"/>
        <v>2</v>
      </c>
      <c r="I278" s="312">
        <f t="shared" si="65"/>
        <v>1.1928749999999999</v>
      </c>
      <c r="J278" s="312">
        <f t="shared" si="66"/>
        <v>1.3690800000000001</v>
      </c>
      <c r="K278" s="312">
        <f t="shared" si="67"/>
        <v>1.6878</v>
      </c>
      <c r="L278" s="204">
        <f t="shared" si="68"/>
        <v>13.39598625</v>
      </c>
      <c r="M278" s="204">
        <f t="shared" si="69"/>
        <v>15.374768400000001</v>
      </c>
      <c r="N278" s="204">
        <f t="shared" si="70"/>
        <v>18.953994000000002</v>
      </c>
    </row>
    <row r="279" spans="1:14" x14ac:dyDescent="0.25">
      <c r="A279" s="271">
        <v>11</v>
      </c>
      <c r="B279" s="272">
        <f>B33*'CO '!$G$257</f>
        <v>78.117647058823522</v>
      </c>
      <c r="C279" s="273">
        <f t="shared" si="59"/>
        <v>78.117647058823522</v>
      </c>
      <c r="D279" s="273">
        <f t="shared" si="60"/>
        <v>78.117647058823522</v>
      </c>
      <c r="E279" s="273">
        <f t="shared" si="61"/>
        <v>78.117647058823522</v>
      </c>
      <c r="F279" s="266">
        <f t="shared" si="62"/>
        <v>5</v>
      </c>
      <c r="G279" s="266">
        <f t="shared" si="63"/>
        <v>2</v>
      </c>
      <c r="H279" s="266">
        <f t="shared" si="64"/>
        <v>2</v>
      </c>
      <c r="I279" s="312">
        <f t="shared" si="65"/>
        <v>1.1928749999999999</v>
      </c>
      <c r="J279" s="312">
        <f t="shared" si="66"/>
        <v>1.3690800000000001</v>
      </c>
      <c r="K279" s="312">
        <f t="shared" si="67"/>
        <v>1.6878</v>
      </c>
      <c r="L279" s="204">
        <f t="shared" si="68"/>
        <v>13.39598625</v>
      </c>
      <c r="M279" s="204">
        <f t="shared" si="69"/>
        <v>15.374768400000001</v>
      </c>
      <c r="N279" s="204">
        <f t="shared" si="70"/>
        <v>18.953994000000002</v>
      </c>
    </row>
    <row r="280" spans="1:14" x14ac:dyDescent="0.25">
      <c r="A280" s="271">
        <v>12</v>
      </c>
      <c r="B280" s="272">
        <f>B34*'CO '!$G$257</f>
        <v>78.117647058823522</v>
      </c>
      <c r="C280" s="273">
        <f t="shared" si="59"/>
        <v>78.117647058823522</v>
      </c>
      <c r="D280" s="273">
        <f t="shared" si="60"/>
        <v>78.117647058823522</v>
      </c>
      <c r="E280" s="273">
        <f t="shared" si="61"/>
        <v>78.117647058823522</v>
      </c>
      <c r="F280" s="266">
        <f t="shared" si="62"/>
        <v>5</v>
      </c>
      <c r="G280" s="266">
        <f t="shared" si="63"/>
        <v>2</v>
      </c>
      <c r="H280" s="266">
        <f t="shared" si="64"/>
        <v>2</v>
      </c>
      <c r="I280" s="312">
        <f t="shared" si="65"/>
        <v>1.1928749999999999</v>
      </c>
      <c r="J280" s="312">
        <f t="shared" si="66"/>
        <v>1.3690800000000001</v>
      </c>
      <c r="K280" s="312">
        <f t="shared" si="67"/>
        <v>1.6878</v>
      </c>
      <c r="L280" s="204">
        <f t="shared" si="68"/>
        <v>13.39598625</v>
      </c>
      <c r="M280" s="204">
        <f t="shared" si="69"/>
        <v>15.374768400000001</v>
      </c>
      <c r="N280" s="204">
        <f t="shared" si="70"/>
        <v>18.953994000000002</v>
      </c>
    </row>
    <row r="281" spans="1:14" x14ac:dyDescent="0.25">
      <c r="A281" s="271">
        <v>13</v>
      </c>
      <c r="B281" s="272">
        <f>B35*'CO '!$G$257</f>
        <v>78.117647058823522</v>
      </c>
      <c r="C281" s="273">
        <f t="shared" si="59"/>
        <v>78.117647058823522</v>
      </c>
      <c r="D281" s="273">
        <f t="shared" si="60"/>
        <v>78.117647058823522</v>
      </c>
      <c r="E281" s="273">
        <f t="shared" si="61"/>
        <v>78.117647058823522</v>
      </c>
      <c r="F281" s="266">
        <f t="shared" si="62"/>
        <v>5</v>
      </c>
      <c r="G281" s="266">
        <f t="shared" si="63"/>
        <v>2</v>
      </c>
      <c r="H281" s="266">
        <f t="shared" si="64"/>
        <v>2</v>
      </c>
      <c r="I281" s="312">
        <f t="shared" si="65"/>
        <v>1.1928749999999999</v>
      </c>
      <c r="J281" s="312">
        <f t="shared" si="66"/>
        <v>1.3690800000000001</v>
      </c>
      <c r="K281" s="312">
        <f t="shared" si="67"/>
        <v>1.6878</v>
      </c>
      <c r="L281" s="204">
        <f t="shared" si="68"/>
        <v>13.39598625</v>
      </c>
      <c r="M281" s="204">
        <f t="shared" si="69"/>
        <v>15.374768400000001</v>
      </c>
      <c r="N281" s="204">
        <f t="shared" si="70"/>
        <v>18.953994000000002</v>
      </c>
    </row>
    <row r="282" spans="1:14" x14ac:dyDescent="0.25">
      <c r="A282" s="271">
        <v>14</v>
      </c>
      <c r="B282" s="272">
        <f>B36*'CO '!$G$257</f>
        <v>75.294117647058826</v>
      </c>
      <c r="C282" s="273">
        <f t="shared" si="59"/>
        <v>75.294117647058826</v>
      </c>
      <c r="D282" s="273">
        <f t="shared" si="60"/>
        <v>75.294117647058826</v>
      </c>
      <c r="E282" s="273">
        <f t="shared" si="61"/>
        <v>75.294117647058826</v>
      </c>
      <c r="F282" s="266">
        <f t="shared" si="62"/>
        <v>6</v>
      </c>
      <c r="G282" s="266">
        <f t="shared" si="63"/>
        <v>2</v>
      </c>
      <c r="H282" s="266">
        <f t="shared" si="64"/>
        <v>2</v>
      </c>
      <c r="I282" s="312">
        <f t="shared" si="65"/>
        <v>1.21916</v>
      </c>
      <c r="J282" s="312">
        <f t="shared" si="66"/>
        <v>1.3690800000000001</v>
      </c>
      <c r="K282" s="312">
        <f t="shared" si="67"/>
        <v>1.6878</v>
      </c>
      <c r="L282" s="204">
        <f t="shared" si="68"/>
        <v>13.691166800000001</v>
      </c>
      <c r="M282" s="204">
        <f t="shared" si="69"/>
        <v>15.374768400000001</v>
      </c>
      <c r="N282" s="204">
        <f t="shared" si="70"/>
        <v>18.953994000000002</v>
      </c>
    </row>
    <row r="283" spans="1:14" x14ac:dyDescent="0.25">
      <c r="A283" s="271">
        <v>15</v>
      </c>
      <c r="B283" s="272">
        <f>B37*'CO '!$G$257</f>
        <v>75.294117647058826</v>
      </c>
      <c r="C283" s="273">
        <f t="shared" si="59"/>
        <v>75.294117647058826</v>
      </c>
      <c r="D283" s="273">
        <f t="shared" si="60"/>
        <v>75.294117647058826</v>
      </c>
      <c r="E283" s="273">
        <f t="shared" si="61"/>
        <v>75.294117647058826</v>
      </c>
      <c r="F283" s="266">
        <f t="shared" si="62"/>
        <v>6</v>
      </c>
      <c r="G283" s="266">
        <f t="shared" si="63"/>
        <v>2</v>
      </c>
      <c r="H283" s="266">
        <f t="shared" si="64"/>
        <v>2</v>
      </c>
      <c r="I283" s="312">
        <f t="shared" si="65"/>
        <v>1.21916</v>
      </c>
      <c r="J283" s="312">
        <f t="shared" si="66"/>
        <v>1.3690800000000001</v>
      </c>
      <c r="K283" s="312">
        <f t="shared" si="67"/>
        <v>1.6878</v>
      </c>
      <c r="L283" s="204">
        <f t="shared" si="68"/>
        <v>13.691166800000001</v>
      </c>
      <c r="M283" s="204">
        <f t="shared" si="69"/>
        <v>15.374768400000001</v>
      </c>
      <c r="N283" s="204">
        <f t="shared" si="70"/>
        <v>18.953994000000002</v>
      </c>
    </row>
    <row r="284" spans="1:14" x14ac:dyDescent="0.25">
      <c r="A284" s="271">
        <v>16</v>
      </c>
      <c r="B284" s="272">
        <f>B38*'CO '!$G$257</f>
        <v>75.294117647058826</v>
      </c>
      <c r="C284" s="273">
        <f t="shared" si="59"/>
        <v>75.294117647058826</v>
      </c>
      <c r="D284" s="273">
        <f t="shared" si="60"/>
        <v>75.294117647058826</v>
      </c>
      <c r="E284" s="273">
        <f t="shared" si="61"/>
        <v>75.294117647058826</v>
      </c>
      <c r="F284" s="266">
        <f t="shared" si="62"/>
        <v>6</v>
      </c>
      <c r="G284" s="266">
        <f t="shared" si="63"/>
        <v>2</v>
      </c>
      <c r="H284" s="266">
        <f t="shared" si="64"/>
        <v>2</v>
      </c>
      <c r="I284" s="312">
        <f t="shared" si="65"/>
        <v>1.21916</v>
      </c>
      <c r="J284" s="312">
        <f t="shared" si="66"/>
        <v>1.3690800000000001</v>
      </c>
      <c r="K284" s="312">
        <f t="shared" si="67"/>
        <v>1.6878</v>
      </c>
      <c r="L284" s="204">
        <f t="shared" si="68"/>
        <v>13.691166800000001</v>
      </c>
      <c r="M284" s="204">
        <f t="shared" si="69"/>
        <v>15.374768400000001</v>
      </c>
      <c r="N284" s="204">
        <f t="shared" si="70"/>
        <v>18.953994000000002</v>
      </c>
    </row>
    <row r="285" spans="1:14" x14ac:dyDescent="0.25">
      <c r="A285" s="271">
        <v>17</v>
      </c>
      <c r="B285" s="272">
        <f>B39*'CO '!$G$257</f>
        <v>75.294117647058826</v>
      </c>
      <c r="C285" s="273">
        <f t="shared" si="59"/>
        <v>75.294117647058826</v>
      </c>
      <c r="D285" s="273">
        <f t="shared" si="60"/>
        <v>75.294117647058826</v>
      </c>
      <c r="E285" s="273">
        <f t="shared" si="61"/>
        <v>75.294117647058826</v>
      </c>
      <c r="F285" s="266">
        <f t="shared" si="62"/>
        <v>6</v>
      </c>
      <c r="G285" s="266">
        <f t="shared" si="63"/>
        <v>2</v>
      </c>
      <c r="H285" s="266">
        <f t="shared" si="64"/>
        <v>2</v>
      </c>
      <c r="I285" s="312">
        <f t="shared" si="65"/>
        <v>1.21916</v>
      </c>
      <c r="J285" s="312">
        <f t="shared" si="66"/>
        <v>1.3690800000000001</v>
      </c>
      <c r="K285" s="312">
        <f t="shared" si="67"/>
        <v>1.6878</v>
      </c>
      <c r="L285" s="204">
        <f t="shared" si="68"/>
        <v>13.691166800000001</v>
      </c>
      <c r="M285" s="204">
        <f t="shared" si="69"/>
        <v>15.374768400000001</v>
      </c>
      <c r="N285" s="204">
        <f t="shared" si="70"/>
        <v>18.953994000000002</v>
      </c>
    </row>
    <row r="286" spans="1:14" x14ac:dyDescent="0.25">
      <c r="A286" s="271">
        <v>18</v>
      </c>
      <c r="B286" s="272">
        <f>B40*'CO '!$G$257</f>
        <v>75.294117647058826</v>
      </c>
      <c r="C286" s="273">
        <f t="shared" si="59"/>
        <v>75.294117647058826</v>
      </c>
      <c r="D286" s="273">
        <f t="shared" si="60"/>
        <v>75.294117647058826</v>
      </c>
      <c r="E286" s="273">
        <f t="shared" si="61"/>
        <v>75.294117647058826</v>
      </c>
      <c r="F286" s="266">
        <f t="shared" si="62"/>
        <v>6</v>
      </c>
      <c r="G286" s="266">
        <f t="shared" si="63"/>
        <v>2</v>
      </c>
      <c r="H286" s="266">
        <f t="shared" si="64"/>
        <v>2</v>
      </c>
      <c r="I286" s="312">
        <f t="shared" si="65"/>
        <v>1.21916</v>
      </c>
      <c r="J286" s="312">
        <f t="shared" si="66"/>
        <v>1.3690800000000001</v>
      </c>
      <c r="K286" s="312">
        <f t="shared" si="67"/>
        <v>1.6878</v>
      </c>
      <c r="L286" s="204">
        <f t="shared" si="68"/>
        <v>13.691166800000001</v>
      </c>
      <c r="M286" s="204">
        <f t="shared" si="69"/>
        <v>15.374768400000001</v>
      </c>
      <c r="N286" s="204">
        <f t="shared" si="70"/>
        <v>18.953994000000002</v>
      </c>
    </row>
    <row r="287" spans="1:14" x14ac:dyDescent="0.25">
      <c r="A287" s="271">
        <v>19</v>
      </c>
      <c r="B287" s="272">
        <f>B41*'CO '!$G$257</f>
        <v>75.294117647058826</v>
      </c>
      <c r="C287" s="273">
        <f t="shared" si="59"/>
        <v>75.294117647058826</v>
      </c>
      <c r="D287" s="273">
        <f t="shared" si="60"/>
        <v>75.294117647058826</v>
      </c>
      <c r="E287" s="273">
        <f t="shared" si="61"/>
        <v>75.294117647058826</v>
      </c>
      <c r="F287" s="266">
        <f t="shared" si="62"/>
        <v>6</v>
      </c>
      <c r="G287" s="266">
        <f t="shared" si="63"/>
        <v>2</v>
      </c>
      <c r="H287" s="266">
        <f t="shared" si="64"/>
        <v>2</v>
      </c>
      <c r="I287" s="312">
        <f t="shared" si="65"/>
        <v>1.21916</v>
      </c>
      <c r="J287" s="312">
        <f t="shared" si="66"/>
        <v>1.3690800000000001</v>
      </c>
      <c r="K287" s="312">
        <f t="shared" si="67"/>
        <v>1.6878</v>
      </c>
      <c r="L287" s="204">
        <f t="shared" si="68"/>
        <v>13.691166800000001</v>
      </c>
      <c r="M287" s="204">
        <f t="shared" si="69"/>
        <v>15.374768400000001</v>
      </c>
      <c r="N287" s="204">
        <f t="shared" si="70"/>
        <v>18.953994000000002</v>
      </c>
    </row>
    <row r="288" spans="1:14" x14ac:dyDescent="0.25">
      <c r="A288" s="271">
        <v>20</v>
      </c>
      <c r="B288" s="272">
        <f>B42*'CO '!$G$257</f>
        <v>75.294117647058826</v>
      </c>
      <c r="C288" s="273">
        <f t="shared" si="59"/>
        <v>75.294117647058826</v>
      </c>
      <c r="D288" s="273">
        <f t="shared" si="60"/>
        <v>75.294117647058826</v>
      </c>
      <c r="E288" s="273">
        <f t="shared" si="61"/>
        <v>75.294117647058826</v>
      </c>
      <c r="F288" s="266">
        <f t="shared" si="62"/>
        <v>6</v>
      </c>
      <c r="G288" s="266">
        <f t="shared" si="63"/>
        <v>2</v>
      </c>
      <c r="H288" s="266">
        <f t="shared" si="64"/>
        <v>2</v>
      </c>
      <c r="I288" s="312">
        <f t="shared" si="65"/>
        <v>1.21916</v>
      </c>
      <c r="J288" s="312">
        <f t="shared" si="66"/>
        <v>1.3690800000000001</v>
      </c>
      <c r="K288" s="312">
        <f t="shared" si="67"/>
        <v>1.6878</v>
      </c>
      <c r="L288" s="204">
        <f t="shared" si="68"/>
        <v>13.691166800000001</v>
      </c>
      <c r="M288" s="204">
        <f t="shared" si="69"/>
        <v>15.374768400000001</v>
      </c>
      <c r="N288" s="204">
        <f t="shared" si="70"/>
        <v>18.953994000000002</v>
      </c>
    </row>
    <row r="289" spans="1:14" x14ac:dyDescent="0.25">
      <c r="A289" s="271">
        <v>21</v>
      </c>
      <c r="B289" s="272">
        <f>B43*'CO '!$G$257</f>
        <v>75.294117647058826</v>
      </c>
      <c r="C289" s="273">
        <f t="shared" si="59"/>
        <v>75.294117647058826</v>
      </c>
      <c r="D289" s="273">
        <f t="shared" si="60"/>
        <v>75.294117647058826</v>
      </c>
      <c r="E289" s="273">
        <f t="shared" si="61"/>
        <v>75.294117647058826</v>
      </c>
      <c r="F289" s="266">
        <f t="shared" si="62"/>
        <v>6</v>
      </c>
      <c r="G289" s="266">
        <f t="shared" si="63"/>
        <v>2</v>
      </c>
      <c r="H289" s="266">
        <f t="shared" si="64"/>
        <v>2</v>
      </c>
      <c r="I289" s="312">
        <f t="shared" si="65"/>
        <v>1.21916</v>
      </c>
      <c r="J289" s="312">
        <f t="shared" si="66"/>
        <v>1.3690800000000001</v>
      </c>
      <c r="K289" s="312">
        <f t="shared" si="67"/>
        <v>1.6878</v>
      </c>
      <c r="L289" s="204">
        <f t="shared" si="68"/>
        <v>13.691166800000001</v>
      </c>
      <c r="M289" s="204">
        <f t="shared" si="69"/>
        <v>15.374768400000001</v>
      </c>
      <c r="N289" s="204">
        <f t="shared" si="70"/>
        <v>18.953994000000002</v>
      </c>
    </row>
    <row r="290" spans="1:14" x14ac:dyDescent="0.25">
      <c r="A290" s="271">
        <v>22</v>
      </c>
      <c r="B290" s="272">
        <f>B44*'CO '!$G$257</f>
        <v>75.294117647058826</v>
      </c>
      <c r="C290" s="273">
        <f t="shared" si="59"/>
        <v>75.294117647058826</v>
      </c>
      <c r="D290" s="273">
        <f t="shared" si="60"/>
        <v>75.294117647058826</v>
      </c>
      <c r="E290" s="273">
        <f t="shared" si="61"/>
        <v>75.294117647058826</v>
      </c>
      <c r="F290" s="266">
        <f t="shared" si="62"/>
        <v>6</v>
      </c>
      <c r="G290" s="266">
        <f t="shared" si="63"/>
        <v>2</v>
      </c>
      <c r="H290" s="266">
        <f t="shared" si="64"/>
        <v>2</v>
      </c>
      <c r="I290" s="312">
        <f t="shared" si="65"/>
        <v>1.21916</v>
      </c>
      <c r="J290" s="312">
        <f t="shared" si="66"/>
        <v>1.3690800000000001</v>
      </c>
      <c r="K290" s="312">
        <f t="shared" si="67"/>
        <v>1.6878</v>
      </c>
      <c r="L290" s="204">
        <f t="shared" si="68"/>
        <v>13.691166800000001</v>
      </c>
      <c r="M290" s="204">
        <f t="shared" si="69"/>
        <v>15.374768400000001</v>
      </c>
      <c r="N290" s="204">
        <f t="shared" si="70"/>
        <v>18.953994000000002</v>
      </c>
    </row>
    <row r="291" spans="1:14" x14ac:dyDescent="0.25">
      <c r="A291" s="271">
        <v>23</v>
      </c>
      <c r="B291" s="272">
        <f>B45*'CO '!$G$257</f>
        <v>75.294117647058826</v>
      </c>
      <c r="C291" s="273">
        <f t="shared" si="59"/>
        <v>75.294117647058826</v>
      </c>
      <c r="D291" s="273">
        <f t="shared" si="60"/>
        <v>75.294117647058826</v>
      </c>
      <c r="E291" s="273">
        <f t="shared" si="61"/>
        <v>75.294117647058826</v>
      </c>
      <c r="F291" s="266">
        <f t="shared" si="62"/>
        <v>6</v>
      </c>
      <c r="G291" s="266">
        <f t="shared" si="63"/>
        <v>2</v>
      </c>
      <c r="H291" s="266">
        <f t="shared" si="64"/>
        <v>2</v>
      </c>
      <c r="I291" s="312">
        <f t="shared" si="65"/>
        <v>1.21916</v>
      </c>
      <c r="J291" s="312">
        <f t="shared" si="66"/>
        <v>1.3690800000000001</v>
      </c>
      <c r="K291" s="312">
        <f t="shared" si="67"/>
        <v>1.6878</v>
      </c>
      <c r="L291" s="204">
        <f t="shared" si="68"/>
        <v>13.691166800000001</v>
      </c>
      <c r="M291" s="204">
        <f t="shared" si="69"/>
        <v>15.374768400000001</v>
      </c>
      <c r="N291" s="204">
        <f t="shared" si="70"/>
        <v>18.953994000000002</v>
      </c>
    </row>
    <row r="292" spans="1:14" x14ac:dyDescent="0.25">
      <c r="A292" s="271">
        <v>24</v>
      </c>
      <c r="B292" s="272">
        <f>B46*'CO '!$G$257</f>
        <v>75.294117647058826</v>
      </c>
      <c r="C292" s="273">
        <f t="shared" si="59"/>
        <v>75.294117647058826</v>
      </c>
      <c r="D292" s="273">
        <f t="shared" si="60"/>
        <v>75.294117647058826</v>
      </c>
      <c r="E292" s="273">
        <f t="shared" si="61"/>
        <v>75.294117647058826</v>
      </c>
      <c r="F292" s="266">
        <f t="shared" si="62"/>
        <v>6</v>
      </c>
      <c r="G292" s="266">
        <f t="shared" si="63"/>
        <v>2</v>
      </c>
      <c r="H292" s="266">
        <f t="shared" si="64"/>
        <v>2</v>
      </c>
      <c r="I292" s="312">
        <f t="shared" si="65"/>
        <v>1.21916</v>
      </c>
      <c r="J292" s="312">
        <f t="shared" si="66"/>
        <v>1.3690800000000001</v>
      </c>
      <c r="K292" s="312">
        <f t="shared" si="67"/>
        <v>1.6878</v>
      </c>
      <c r="L292" s="204">
        <f t="shared" si="68"/>
        <v>13.691166800000001</v>
      </c>
      <c r="M292" s="204">
        <f t="shared" si="69"/>
        <v>15.374768400000001</v>
      </c>
      <c r="N292" s="204">
        <f t="shared" si="70"/>
        <v>18.953994000000002</v>
      </c>
    </row>
    <row r="293" spans="1:14" x14ac:dyDescent="0.25">
      <c r="A293" s="271">
        <v>25</v>
      </c>
      <c r="B293" s="272">
        <f>B47*'CO '!$G$257</f>
        <v>75.294117647058826</v>
      </c>
      <c r="C293" s="273">
        <f t="shared" si="59"/>
        <v>75.294117647058826</v>
      </c>
      <c r="D293" s="273">
        <f t="shared" si="60"/>
        <v>75.294117647058826</v>
      </c>
      <c r="E293" s="273">
        <f t="shared" si="61"/>
        <v>75.294117647058826</v>
      </c>
      <c r="F293" s="266">
        <f t="shared" si="62"/>
        <v>6</v>
      </c>
      <c r="G293" s="266">
        <f t="shared" si="63"/>
        <v>2</v>
      </c>
      <c r="H293" s="266">
        <f t="shared" si="64"/>
        <v>2</v>
      </c>
      <c r="I293" s="312">
        <f t="shared" si="65"/>
        <v>1.21916</v>
      </c>
      <c r="J293" s="312">
        <f t="shared" si="66"/>
        <v>1.3690800000000001</v>
      </c>
      <c r="K293" s="312">
        <f t="shared" si="67"/>
        <v>1.6878</v>
      </c>
      <c r="L293" s="204">
        <f t="shared" si="68"/>
        <v>13.691166800000001</v>
      </c>
      <c r="M293" s="204">
        <f t="shared" si="69"/>
        <v>15.374768400000001</v>
      </c>
      <c r="N293" s="204">
        <f t="shared" si="70"/>
        <v>18.953994000000002</v>
      </c>
    </row>
    <row r="294" spans="1:14" x14ac:dyDescent="0.25">
      <c r="A294" s="271">
        <v>26</v>
      </c>
      <c r="B294" s="272">
        <f>B48*'CO '!$G$257</f>
        <v>75.294117647058826</v>
      </c>
      <c r="C294" s="273">
        <f t="shared" si="59"/>
        <v>75.294117647058826</v>
      </c>
      <c r="D294" s="273">
        <f t="shared" si="60"/>
        <v>75.294117647058826</v>
      </c>
      <c r="E294" s="273">
        <f t="shared" si="61"/>
        <v>75.294117647058826</v>
      </c>
      <c r="F294" s="266">
        <f t="shared" si="62"/>
        <v>6</v>
      </c>
      <c r="G294" s="266">
        <f t="shared" si="63"/>
        <v>2</v>
      </c>
      <c r="H294" s="266">
        <f t="shared" si="64"/>
        <v>2</v>
      </c>
      <c r="I294" s="312">
        <f t="shared" si="65"/>
        <v>1.21916</v>
      </c>
      <c r="J294" s="312">
        <f t="shared" si="66"/>
        <v>1.3690800000000001</v>
      </c>
      <c r="K294" s="312">
        <f t="shared" si="67"/>
        <v>1.6878</v>
      </c>
      <c r="L294" s="204">
        <f t="shared" si="68"/>
        <v>13.691166800000001</v>
      </c>
      <c r="M294" s="204">
        <f t="shared" si="69"/>
        <v>15.374768400000001</v>
      </c>
      <c r="N294" s="204">
        <f t="shared" si="70"/>
        <v>18.953994000000002</v>
      </c>
    </row>
    <row r="295" spans="1:14" x14ac:dyDescent="0.25">
      <c r="A295" s="271">
        <v>27</v>
      </c>
      <c r="B295" s="272">
        <f>B49*'CO '!$G$257</f>
        <v>75.294117647058826</v>
      </c>
      <c r="C295" s="273">
        <f t="shared" si="59"/>
        <v>75.294117647058826</v>
      </c>
      <c r="D295" s="273">
        <f t="shared" si="60"/>
        <v>75.294117647058826</v>
      </c>
      <c r="E295" s="273">
        <f t="shared" si="61"/>
        <v>75.294117647058826</v>
      </c>
      <c r="F295" s="266">
        <f t="shared" si="62"/>
        <v>6</v>
      </c>
      <c r="G295" s="266">
        <f t="shared" si="63"/>
        <v>2</v>
      </c>
      <c r="H295" s="266">
        <f t="shared" si="64"/>
        <v>2</v>
      </c>
      <c r="I295" s="312">
        <f t="shared" si="65"/>
        <v>1.21916</v>
      </c>
      <c r="J295" s="312">
        <f t="shared" si="66"/>
        <v>1.3690800000000001</v>
      </c>
      <c r="K295" s="312">
        <f t="shared" si="67"/>
        <v>1.6878</v>
      </c>
      <c r="L295" s="204">
        <f t="shared" si="68"/>
        <v>13.691166800000001</v>
      </c>
      <c r="M295" s="204">
        <f t="shared" si="69"/>
        <v>15.374768400000001</v>
      </c>
      <c r="N295" s="204">
        <f t="shared" si="70"/>
        <v>18.953994000000002</v>
      </c>
    </row>
    <row r="296" spans="1:14" x14ac:dyDescent="0.25">
      <c r="A296" s="271">
        <v>28</v>
      </c>
      <c r="B296" s="272">
        <f>B50*'CO '!$G$257</f>
        <v>75.294117647058826</v>
      </c>
      <c r="C296" s="273">
        <f t="shared" si="59"/>
        <v>75.294117647058826</v>
      </c>
      <c r="D296" s="273">
        <f t="shared" si="60"/>
        <v>75.294117647058826</v>
      </c>
      <c r="E296" s="273">
        <f t="shared" si="61"/>
        <v>75.294117647058826</v>
      </c>
      <c r="F296" s="266">
        <f t="shared" si="62"/>
        <v>6</v>
      </c>
      <c r="G296" s="266">
        <f t="shared" si="63"/>
        <v>2</v>
      </c>
      <c r="H296" s="266">
        <f t="shared" si="64"/>
        <v>2</v>
      </c>
      <c r="I296" s="312">
        <f t="shared" si="65"/>
        <v>1.21916</v>
      </c>
      <c r="J296" s="312">
        <f t="shared" si="66"/>
        <v>1.3690800000000001</v>
      </c>
      <c r="K296" s="312">
        <f t="shared" si="67"/>
        <v>1.6878</v>
      </c>
      <c r="L296" s="204">
        <f t="shared" si="68"/>
        <v>13.691166800000001</v>
      </c>
      <c r="M296" s="204">
        <f t="shared" si="69"/>
        <v>15.374768400000001</v>
      </c>
      <c r="N296" s="204">
        <f t="shared" si="70"/>
        <v>18.953994000000002</v>
      </c>
    </row>
    <row r="297" spans="1:14" x14ac:dyDescent="0.25">
      <c r="A297" s="271">
        <v>29</v>
      </c>
      <c r="B297" s="272">
        <f>B51*'CO '!$G$257</f>
        <v>75.294117647058826</v>
      </c>
      <c r="C297" s="273">
        <f t="shared" si="59"/>
        <v>75.294117647058826</v>
      </c>
      <c r="D297" s="273">
        <f t="shared" si="60"/>
        <v>75.294117647058826</v>
      </c>
      <c r="E297" s="273">
        <f t="shared" si="61"/>
        <v>75.294117647058826</v>
      </c>
      <c r="F297" s="266">
        <f t="shared" si="62"/>
        <v>6</v>
      </c>
      <c r="G297" s="266">
        <f t="shared" si="63"/>
        <v>2</v>
      </c>
      <c r="H297" s="266">
        <f t="shared" si="64"/>
        <v>2</v>
      </c>
      <c r="I297" s="312">
        <f t="shared" si="65"/>
        <v>1.21916</v>
      </c>
      <c r="J297" s="312">
        <f t="shared" si="66"/>
        <v>1.3690800000000001</v>
      </c>
      <c r="K297" s="312">
        <f t="shared" si="67"/>
        <v>1.6878</v>
      </c>
      <c r="L297" s="204">
        <f t="shared" si="68"/>
        <v>13.691166800000001</v>
      </c>
      <c r="M297" s="204">
        <f t="shared" si="69"/>
        <v>15.374768400000001</v>
      </c>
      <c r="N297" s="204">
        <f t="shared" si="70"/>
        <v>18.953994000000002</v>
      </c>
    </row>
    <row r="298" spans="1:14" x14ac:dyDescent="0.25">
      <c r="A298" s="271">
        <v>30</v>
      </c>
      <c r="B298" s="272">
        <f>B52*'CO '!$G$257</f>
        <v>75.294117647058826</v>
      </c>
      <c r="C298" s="273">
        <f t="shared" si="59"/>
        <v>75.294117647058826</v>
      </c>
      <c r="D298" s="273">
        <f t="shared" si="60"/>
        <v>75.294117647058826</v>
      </c>
      <c r="E298" s="273">
        <f t="shared" si="61"/>
        <v>75.294117647058826</v>
      </c>
      <c r="F298" s="266">
        <f t="shared" si="62"/>
        <v>6</v>
      </c>
      <c r="G298" s="266">
        <f t="shared" si="63"/>
        <v>2</v>
      </c>
      <c r="H298" s="266">
        <f t="shared" si="64"/>
        <v>2</v>
      </c>
      <c r="I298" s="312">
        <f t="shared" si="65"/>
        <v>1.21916</v>
      </c>
      <c r="J298" s="312">
        <f t="shared" si="66"/>
        <v>1.3690800000000001</v>
      </c>
      <c r="K298" s="312">
        <f t="shared" si="67"/>
        <v>1.6878</v>
      </c>
      <c r="L298" s="204">
        <f t="shared" si="68"/>
        <v>13.691166800000001</v>
      </c>
      <c r="M298" s="204">
        <f t="shared" si="69"/>
        <v>15.374768400000001</v>
      </c>
      <c r="N298" s="204">
        <f t="shared" si="70"/>
        <v>18.953994000000002</v>
      </c>
    </row>
    <row r="299" spans="1:14" x14ac:dyDescent="0.25">
      <c r="A299" s="271">
        <v>31</v>
      </c>
      <c r="B299" s="272">
        <f>B53*'CO '!$G$257</f>
        <v>75.294117647058826</v>
      </c>
      <c r="C299" s="273">
        <f t="shared" si="59"/>
        <v>75.294117647058826</v>
      </c>
      <c r="D299" s="273">
        <f>C299</f>
        <v>75.294117647058826</v>
      </c>
      <c r="E299" s="273">
        <f>D299</f>
        <v>75.294117647058826</v>
      </c>
      <c r="F299" s="266">
        <f t="shared" si="62"/>
        <v>6</v>
      </c>
      <c r="G299" s="266">
        <f t="shared" si="63"/>
        <v>2</v>
      </c>
      <c r="H299" s="266">
        <f t="shared" si="64"/>
        <v>2</v>
      </c>
      <c r="I299" s="312">
        <f>0.000135*(F299)^3-0.002*(F299)^2+0.036*(F299)+1.046</f>
        <v>1.21916</v>
      </c>
      <c r="J299" s="312">
        <f>0.000135*(G299)^3-0.002*(G299)^2+0.04*(G299)+1.296</f>
        <v>1.3690800000000001</v>
      </c>
      <c r="K299" s="312">
        <f>0.00095*(H299)^2+0.022*(H299)+1.64</f>
        <v>1.6878</v>
      </c>
      <c r="L299" s="204">
        <f t="shared" ref="L299:N300" si="71">$B$265*I299</f>
        <v>13.691166800000001</v>
      </c>
      <c r="M299" s="204">
        <f t="shared" si="71"/>
        <v>15.374768400000001</v>
      </c>
      <c r="N299" s="204">
        <f t="shared" si="71"/>
        <v>18.953994000000002</v>
      </c>
    </row>
    <row r="300" spans="1:14" x14ac:dyDescent="0.25">
      <c r="A300" s="271">
        <v>32</v>
      </c>
      <c r="B300" s="272">
        <f>B54*'CO '!$G$257</f>
        <v>75.294117647058826</v>
      </c>
      <c r="C300" s="273">
        <f t="shared" si="59"/>
        <v>75.294117647058826</v>
      </c>
      <c r="D300" s="273">
        <f>C300</f>
        <v>75.294117647058826</v>
      </c>
      <c r="E300" s="273">
        <f>D300</f>
        <v>75.294117647058826</v>
      </c>
      <c r="F300" s="266">
        <f t="shared" si="62"/>
        <v>6</v>
      </c>
      <c r="G300" s="266">
        <f t="shared" si="63"/>
        <v>2</v>
      </c>
      <c r="H300" s="266">
        <f t="shared" si="64"/>
        <v>2</v>
      </c>
      <c r="I300" s="312">
        <f>0.000135*(F300)^3-0.002*(F300)^2+0.036*(F300)+1.046</f>
        <v>1.21916</v>
      </c>
      <c r="J300" s="312">
        <f>0.000135*(G300)^3-0.002*(G300)^2+0.04*(G300)+1.296</f>
        <v>1.3690800000000001</v>
      </c>
      <c r="K300" s="312">
        <f>0.00095*(H300)^2+0.022*(H300)+1.64</f>
        <v>1.6878</v>
      </c>
      <c r="L300" s="204">
        <f t="shared" si="71"/>
        <v>13.691166800000001</v>
      </c>
      <c r="M300" s="204">
        <f t="shared" si="71"/>
        <v>15.374768400000001</v>
      </c>
      <c r="N300" s="204">
        <f t="shared" si="71"/>
        <v>18.953994000000002</v>
      </c>
    </row>
    <row r="302" spans="1:14" x14ac:dyDescent="0.25">
      <c r="A302" s="239" t="s">
        <v>13</v>
      </c>
      <c r="B302" s="239"/>
    </row>
    <row r="303" spans="1:14" x14ac:dyDescent="0.25">
      <c r="A303" t="s">
        <v>258</v>
      </c>
      <c r="C303" t="s">
        <v>238</v>
      </c>
    </row>
    <row r="304" spans="1:14" x14ac:dyDescent="0.25">
      <c r="A304" s="43" t="s">
        <v>228</v>
      </c>
      <c r="B304" s="43">
        <v>11.23</v>
      </c>
    </row>
    <row r="305" spans="1:14" x14ac:dyDescent="0.25">
      <c r="A305" s="43" t="s">
        <v>99</v>
      </c>
      <c r="B305" s="169" t="str">
        <f>B57</f>
        <v>P</v>
      </c>
      <c r="C305" s="575" t="s">
        <v>229</v>
      </c>
      <c r="D305" s="575"/>
      <c r="E305" s="575"/>
      <c r="F305" s="575" t="s">
        <v>230</v>
      </c>
      <c r="G305" s="576"/>
      <c r="H305" s="576"/>
      <c r="I305" s="575" t="s">
        <v>231</v>
      </c>
      <c r="J305" s="575"/>
      <c r="K305" s="575"/>
      <c r="L305" s="575" t="s">
        <v>240</v>
      </c>
      <c r="M305" s="575"/>
      <c r="N305" s="575"/>
    </row>
    <row r="306" spans="1:14" x14ac:dyDescent="0.25">
      <c r="A306" s="35" t="s">
        <v>18</v>
      </c>
      <c r="B306" s="95" t="s">
        <v>20</v>
      </c>
      <c r="C306" s="270" t="s">
        <v>233</v>
      </c>
      <c r="D306" s="270" t="s">
        <v>234</v>
      </c>
      <c r="E306" s="270" t="s">
        <v>235</v>
      </c>
      <c r="F306" s="270" t="s">
        <v>233</v>
      </c>
      <c r="G306" s="270" t="s">
        <v>234</v>
      </c>
      <c r="H306" s="270" t="s">
        <v>235</v>
      </c>
      <c r="I306" s="270" t="s">
        <v>233</v>
      </c>
      <c r="J306" s="270" t="s">
        <v>234</v>
      </c>
      <c r="K306" s="270" t="s">
        <v>235</v>
      </c>
      <c r="L306" s="270" t="s">
        <v>233</v>
      </c>
      <c r="M306" s="270" t="s">
        <v>234</v>
      </c>
      <c r="N306" s="270" t="s">
        <v>235</v>
      </c>
    </row>
    <row r="307" spans="1:14" x14ac:dyDescent="0.25">
      <c r="A307" s="271">
        <v>0</v>
      </c>
      <c r="B307" s="272">
        <f>B59*$G$257</f>
        <v>98.190782958584805</v>
      </c>
      <c r="C307" s="273">
        <f>B307</f>
        <v>98.190782958584805</v>
      </c>
      <c r="D307" s="273">
        <f>C307</f>
        <v>98.190782958584805</v>
      </c>
      <c r="E307" s="273">
        <f>D307</f>
        <v>98.190782958584805</v>
      </c>
      <c r="F307" s="266">
        <f>IF(C307&gt;$B$250,$A$250,IF(C307&gt;$B$251,$A$251,IF(C307&gt;$B$252,$A$252,IF(C307&gt;$B$253,$A$253,IF(C307&gt;$B$254,$A$254,IF(C307&gt;$B$255,$A$255,IF(C307&gt;$B$256,$A$256,IF(C307&gt;$B$257,$A$257,IF(C307&gt;$B$258,$A$258,IF(C307&gt;$B$259,$A$259,IF(C307&gt;$B$260,$A$260,12)))))))))))</f>
        <v>2</v>
      </c>
      <c r="G307" s="266">
        <f>IF(D307&gt;$C$250,$A$250,IF(D307&gt;$C$251,$A$251,IF(D307&gt;$C$252,$A$252,IF(D307&gt;$C$253,$A$253,IF(D307&gt;$C$254,$A$254,IF(D307&gt;$C$255,$A$255,IF(D307&gt;$C$256,$A$256,IF(D307&gt;$C$257,$A$257,IF(D307&gt;$C$258,$A$258,IF(D307&gt;$C$259,$A$259,IF(D307&gt;$C$260,$A$260,12)))))))))))</f>
        <v>2</v>
      </c>
      <c r="H307" s="266">
        <f>IF(E307&gt;$D$250,$A$250,IF(E307&gt;$D$251,$A$251,IF(E307&gt;$D$252,$A$252,IF(E307&gt;$D$253,$A$253,IF(E307&gt;$D$254,$A$254,IF(E307&gt;$D$255,$A$255,IF(E307&gt;$D$256,$A$256,IF(E307&gt;$D$257,$A$257,IF(E307&gt;$D$258,$A$258,IF(E307&gt;$D$259,$A$259,IF(E307&gt;$D$260,$A$260,12)))))))))))</f>
        <v>2</v>
      </c>
      <c r="I307" s="312">
        <f>0.000135*(F307)^3-0.002*(F307)^2+0.036*(F307)+1.046</f>
        <v>1.1110800000000001</v>
      </c>
      <c r="J307" s="312">
        <f>0.000135*(G307)^3-0.002*(G307)^2+0.04*(G307)+1.296</f>
        <v>1.3690800000000001</v>
      </c>
      <c r="K307" s="312">
        <f>0.00095*(H307)^2+0.022*(H307)+1.64</f>
        <v>1.6878</v>
      </c>
      <c r="L307" s="204">
        <f>$B$265*I307</f>
        <v>12.477428400000001</v>
      </c>
      <c r="M307" s="204">
        <f t="shared" ref="M307:M337" si="72">$B$265*J307</f>
        <v>15.374768400000001</v>
      </c>
      <c r="N307" s="204">
        <f t="shared" ref="N307:N337" si="73">$B$265*K307</f>
        <v>18.953994000000002</v>
      </c>
    </row>
    <row r="308" spans="1:14" x14ac:dyDescent="0.25">
      <c r="A308" s="271">
        <v>1</v>
      </c>
      <c r="B308" s="272">
        <f t="shared" ref="B308:B339" si="74">B60*$G$257</f>
        <v>97.889447623812941</v>
      </c>
      <c r="C308" s="273">
        <f t="shared" ref="C308:C339" si="75">B308</f>
        <v>97.889447623812941</v>
      </c>
      <c r="D308" s="311">
        <f>C308</f>
        <v>97.889447623812941</v>
      </c>
      <c r="E308" s="311">
        <f>D308</f>
        <v>97.889447623812941</v>
      </c>
      <c r="F308" s="266">
        <f t="shared" ref="F308:F339" si="76">IF(C308&gt;$B$250,$A$250,IF(C308&gt;$B$251,$A$251,IF(C308&gt;$B$252,$A$252,IF(C308&gt;$B$253,$A$253,IF(C308&gt;$B$254,$A$254,IF(C308&gt;$B$255,$A$255,IF(C308&gt;$B$256,$A$256,IF(C308&gt;$B$257,$A$257,IF(C308&gt;$B$258,$A$258,IF(C308&gt;$B$259,$A$259,IF(C308&gt;$B$260,$A$260,12)))))))))))</f>
        <v>2</v>
      </c>
      <c r="G308" s="266">
        <f t="shared" ref="G308:G339" si="77">IF(D308&gt;$C$250,$A$250,IF(D308&gt;$C$251,$A$251,IF(D308&gt;$C$252,$A$252,IF(D308&gt;$C$253,$A$253,IF(D308&gt;$C$254,$A$254,IF(D308&gt;$C$255,$A$255,IF(D308&gt;$C$256,$A$256,IF(D308&gt;$C$257,$A$257,IF(D308&gt;$C$258,$A$258,IF(D308&gt;$C$259,$A$259,IF(D308&gt;$C$260,$A$260,12)))))))))))</f>
        <v>2</v>
      </c>
      <c r="H308" s="266">
        <f t="shared" ref="H308:H339" si="78">IF(E308&gt;$D$250,$A$250,IF(E308&gt;$D$251,$A$251,IF(E308&gt;$D$252,$A$252,IF(E308&gt;$D$253,$A$253,IF(E308&gt;$D$254,$A$254,IF(E308&gt;$D$255,$A$255,IF(E308&gt;$D$256,$A$256,IF(E308&gt;$D$257,$A$257,IF(E308&gt;$D$258,$A$258,IF(E308&gt;$D$259,$A$259,IF(E308&gt;$D$260,$A$260,12)))))))))))</f>
        <v>2</v>
      </c>
      <c r="I308" s="312">
        <f t="shared" ref="I308:I337" si="79">0.000135*(F308)^3-0.002*(F308)^2+0.036*(F308)+1.046</f>
        <v>1.1110800000000001</v>
      </c>
      <c r="J308" s="312">
        <f t="shared" ref="J308:J337" si="80">0.000135*(G308)^3-0.002*(G308)^2+0.04*(G308)+1.296</f>
        <v>1.3690800000000001</v>
      </c>
      <c r="K308" s="312">
        <f t="shared" ref="K308:K337" si="81">0.00095*(H308)^2+0.022*(H308)+1.64</f>
        <v>1.6878</v>
      </c>
      <c r="L308" s="204">
        <f t="shared" ref="L308:L337" si="82">$B$265*I308</f>
        <v>12.477428400000001</v>
      </c>
      <c r="M308" s="204">
        <f t="shared" si="72"/>
        <v>15.374768400000001</v>
      </c>
      <c r="N308" s="204">
        <f t="shared" si="73"/>
        <v>18.953994000000002</v>
      </c>
    </row>
    <row r="309" spans="1:14" x14ac:dyDescent="0.25">
      <c r="A309" s="271">
        <v>2</v>
      </c>
      <c r="B309" s="272">
        <f t="shared" si="74"/>
        <v>97.579072228997916</v>
      </c>
      <c r="C309" s="273">
        <f t="shared" si="75"/>
        <v>97.579072228997916</v>
      </c>
      <c r="D309" s="273">
        <f>C309</f>
        <v>97.579072228997916</v>
      </c>
      <c r="E309" s="273">
        <f>D309</f>
        <v>97.579072228997916</v>
      </c>
      <c r="F309" s="266">
        <f t="shared" si="76"/>
        <v>2</v>
      </c>
      <c r="G309" s="266">
        <f t="shared" si="77"/>
        <v>2</v>
      </c>
      <c r="H309" s="266">
        <f t="shared" si="78"/>
        <v>2</v>
      </c>
      <c r="I309" s="312">
        <f t="shared" si="79"/>
        <v>1.1110800000000001</v>
      </c>
      <c r="J309" s="312">
        <f t="shared" si="80"/>
        <v>1.3690800000000001</v>
      </c>
      <c r="K309" s="312">
        <f t="shared" si="81"/>
        <v>1.6878</v>
      </c>
      <c r="L309" s="204">
        <f t="shared" si="82"/>
        <v>12.477428400000001</v>
      </c>
      <c r="M309" s="204">
        <f t="shared" si="72"/>
        <v>15.374768400000001</v>
      </c>
      <c r="N309" s="204">
        <f t="shared" si="73"/>
        <v>18.953994000000002</v>
      </c>
    </row>
    <row r="310" spans="1:14" x14ac:dyDescent="0.25">
      <c r="A310" s="271">
        <v>3</v>
      </c>
      <c r="B310" s="272">
        <f t="shared" si="74"/>
        <v>97.379999951957231</v>
      </c>
      <c r="C310" s="273">
        <f t="shared" si="75"/>
        <v>97.379999951957231</v>
      </c>
      <c r="D310" s="273">
        <f t="shared" ref="D310:D337" si="83">C310</f>
        <v>97.379999951957231</v>
      </c>
      <c r="E310" s="273">
        <f t="shared" ref="E310:E337" si="84">D310</f>
        <v>97.379999951957231</v>
      </c>
      <c r="F310" s="266">
        <f t="shared" si="76"/>
        <v>2</v>
      </c>
      <c r="G310" s="266">
        <f t="shared" si="77"/>
        <v>2</v>
      </c>
      <c r="H310" s="266">
        <f t="shared" si="78"/>
        <v>2</v>
      </c>
      <c r="I310" s="312">
        <f t="shared" si="79"/>
        <v>1.1110800000000001</v>
      </c>
      <c r="J310" s="312">
        <f t="shared" si="80"/>
        <v>1.3690800000000001</v>
      </c>
      <c r="K310" s="312">
        <f t="shared" si="81"/>
        <v>1.6878</v>
      </c>
      <c r="L310" s="204">
        <f t="shared" si="82"/>
        <v>12.477428400000001</v>
      </c>
      <c r="M310" s="204">
        <f t="shared" si="72"/>
        <v>15.374768400000001</v>
      </c>
      <c r="N310" s="204">
        <f t="shared" si="73"/>
        <v>18.953994000000002</v>
      </c>
    </row>
    <row r="311" spans="1:14" x14ac:dyDescent="0.25">
      <c r="A311" s="271">
        <v>4</v>
      </c>
      <c r="B311" s="272">
        <f t="shared" si="74"/>
        <v>97.054341126986515</v>
      </c>
      <c r="C311" s="273">
        <f t="shared" si="75"/>
        <v>97.054341126986515</v>
      </c>
      <c r="D311" s="273">
        <f t="shared" si="83"/>
        <v>97.054341126986515</v>
      </c>
      <c r="E311" s="273">
        <f t="shared" si="84"/>
        <v>97.054341126986515</v>
      </c>
      <c r="F311" s="266">
        <f t="shared" si="76"/>
        <v>2</v>
      </c>
      <c r="G311" s="266">
        <f t="shared" si="77"/>
        <v>2</v>
      </c>
      <c r="H311" s="266">
        <f t="shared" si="78"/>
        <v>2</v>
      </c>
      <c r="I311" s="312">
        <f t="shared" si="79"/>
        <v>1.1110800000000001</v>
      </c>
      <c r="J311" s="312">
        <f t="shared" si="80"/>
        <v>1.3690800000000001</v>
      </c>
      <c r="K311" s="312">
        <f t="shared" si="81"/>
        <v>1.6878</v>
      </c>
      <c r="L311" s="204">
        <f t="shared" si="82"/>
        <v>12.477428400000001</v>
      </c>
      <c r="M311" s="204">
        <f t="shared" si="72"/>
        <v>15.374768400000001</v>
      </c>
      <c r="N311" s="204">
        <f t="shared" si="73"/>
        <v>18.953994000000002</v>
      </c>
    </row>
    <row r="312" spans="1:14" x14ac:dyDescent="0.25">
      <c r="A312" s="271">
        <v>5</v>
      </c>
      <c r="B312" s="272">
        <f t="shared" si="74"/>
        <v>96.718912537266718</v>
      </c>
      <c r="C312" s="273">
        <f t="shared" si="75"/>
        <v>96.718912537266718</v>
      </c>
      <c r="D312" s="273">
        <f t="shared" si="83"/>
        <v>96.718912537266718</v>
      </c>
      <c r="E312" s="273">
        <f t="shared" si="84"/>
        <v>96.718912537266718</v>
      </c>
      <c r="F312" s="266">
        <f t="shared" si="76"/>
        <v>2</v>
      </c>
      <c r="G312" s="266">
        <f t="shared" si="77"/>
        <v>2</v>
      </c>
      <c r="H312" s="266">
        <f t="shared" si="78"/>
        <v>2</v>
      </c>
      <c r="I312" s="312">
        <f t="shared" si="79"/>
        <v>1.1110800000000001</v>
      </c>
      <c r="J312" s="312">
        <f t="shared" si="80"/>
        <v>1.3690800000000001</v>
      </c>
      <c r="K312" s="312">
        <f t="shared" si="81"/>
        <v>1.6878</v>
      </c>
      <c r="L312" s="204">
        <f t="shared" si="82"/>
        <v>12.477428400000001</v>
      </c>
      <c r="M312" s="204">
        <f t="shared" si="72"/>
        <v>15.374768400000001</v>
      </c>
      <c r="N312" s="204">
        <f t="shared" si="73"/>
        <v>18.953994000000002</v>
      </c>
    </row>
    <row r="313" spans="1:14" x14ac:dyDescent="0.25">
      <c r="A313" s="271">
        <v>6</v>
      </c>
      <c r="B313" s="272">
        <f t="shared" si="74"/>
        <v>96.373421089855299</v>
      </c>
      <c r="C313" s="273">
        <f t="shared" si="75"/>
        <v>96.373421089855299</v>
      </c>
      <c r="D313" s="273">
        <f t="shared" si="83"/>
        <v>96.373421089855299</v>
      </c>
      <c r="E313" s="273">
        <f t="shared" si="84"/>
        <v>96.373421089855299</v>
      </c>
      <c r="F313" s="266">
        <f t="shared" si="76"/>
        <v>2</v>
      </c>
      <c r="G313" s="266">
        <f t="shared" si="77"/>
        <v>2</v>
      </c>
      <c r="H313" s="266">
        <f t="shared" si="78"/>
        <v>2</v>
      </c>
      <c r="I313" s="312">
        <f t="shared" si="79"/>
        <v>1.1110800000000001</v>
      </c>
      <c r="J313" s="312">
        <f t="shared" si="80"/>
        <v>1.3690800000000001</v>
      </c>
      <c r="K313" s="312">
        <f t="shared" si="81"/>
        <v>1.6878</v>
      </c>
      <c r="L313" s="204">
        <f t="shared" si="82"/>
        <v>12.477428400000001</v>
      </c>
      <c r="M313" s="204">
        <f t="shared" si="72"/>
        <v>15.374768400000001</v>
      </c>
      <c r="N313" s="204">
        <f t="shared" si="73"/>
        <v>18.953994000000002</v>
      </c>
    </row>
    <row r="314" spans="1:14" x14ac:dyDescent="0.25">
      <c r="A314" s="271">
        <v>7</v>
      </c>
      <c r="B314" s="272">
        <f t="shared" si="74"/>
        <v>96.017564899021551</v>
      </c>
      <c r="C314" s="273">
        <f t="shared" si="75"/>
        <v>96.017564899021551</v>
      </c>
      <c r="D314" s="273">
        <f t="shared" si="83"/>
        <v>96.017564899021551</v>
      </c>
      <c r="E314" s="273">
        <f t="shared" si="84"/>
        <v>96.017564899021551</v>
      </c>
      <c r="F314" s="266">
        <f t="shared" si="76"/>
        <v>2</v>
      </c>
      <c r="G314" s="266">
        <f t="shared" si="77"/>
        <v>2</v>
      </c>
      <c r="H314" s="266">
        <f t="shared" si="78"/>
        <v>2</v>
      </c>
      <c r="I314" s="312">
        <f t="shared" si="79"/>
        <v>1.1110800000000001</v>
      </c>
      <c r="J314" s="312">
        <f t="shared" si="80"/>
        <v>1.3690800000000001</v>
      </c>
      <c r="K314" s="312">
        <f t="shared" si="81"/>
        <v>1.6878</v>
      </c>
      <c r="L314" s="204">
        <f t="shared" si="82"/>
        <v>12.477428400000001</v>
      </c>
      <c r="M314" s="204">
        <f t="shared" si="72"/>
        <v>15.374768400000001</v>
      </c>
      <c r="N314" s="204">
        <f t="shared" si="73"/>
        <v>18.953994000000002</v>
      </c>
    </row>
    <row r="315" spans="1:14" x14ac:dyDescent="0.25">
      <c r="A315" s="271">
        <v>8</v>
      </c>
      <c r="B315" s="272">
        <f t="shared" si="74"/>
        <v>95.651033022462784</v>
      </c>
      <c r="C315" s="273">
        <f t="shared" si="75"/>
        <v>95.651033022462784</v>
      </c>
      <c r="D315" s="273">
        <f t="shared" si="83"/>
        <v>95.651033022462784</v>
      </c>
      <c r="E315" s="273">
        <f t="shared" si="84"/>
        <v>95.651033022462784</v>
      </c>
      <c r="F315" s="266">
        <f t="shared" si="76"/>
        <v>2</v>
      </c>
      <c r="G315" s="266">
        <f t="shared" si="77"/>
        <v>2</v>
      </c>
      <c r="H315" s="266">
        <f t="shared" si="78"/>
        <v>2</v>
      </c>
      <c r="I315" s="312">
        <f t="shared" si="79"/>
        <v>1.1110800000000001</v>
      </c>
      <c r="J315" s="312">
        <f t="shared" si="80"/>
        <v>1.3690800000000001</v>
      </c>
      <c r="K315" s="312">
        <f t="shared" si="81"/>
        <v>1.6878</v>
      </c>
      <c r="L315" s="204">
        <f t="shared" si="82"/>
        <v>12.477428400000001</v>
      </c>
      <c r="M315" s="204">
        <f t="shared" si="72"/>
        <v>15.374768400000001</v>
      </c>
      <c r="N315" s="204">
        <f t="shared" si="73"/>
        <v>18.953994000000002</v>
      </c>
    </row>
    <row r="316" spans="1:14" x14ac:dyDescent="0.25">
      <c r="A316" s="271">
        <v>9</v>
      </c>
      <c r="B316" s="272">
        <f t="shared" si="74"/>
        <v>95.273505189607263</v>
      </c>
      <c r="C316" s="273">
        <f t="shared" si="75"/>
        <v>95.273505189607263</v>
      </c>
      <c r="D316" s="273">
        <f t="shared" si="83"/>
        <v>95.273505189607263</v>
      </c>
      <c r="E316" s="273">
        <f t="shared" si="84"/>
        <v>95.273505189607263</v>
      </c>
      <c r="F316" s="266">
        <f t="shared" si="76"/>
        <v>2</v>
      </c>
      <c r="G316" s="266">
        <f t="shared" si="77"/>
        <v>2</v>
      </c>
      <c r="H316" s="266">
        <f t="shared" si="78"/>
        <v>2</v>
      </c>
      <c r="I316" s="312">
        <f t="shared" si="79"/>
        <v>1.1110800000000001</v>
      </c>
      <c r="J316" s="312">
        <f t="shared" si="80"/>
        <v>1.3690800000000001</v>
      </c>
      <c r="K316" s="312">
        <f t="shared" si="81"/>
        <v>1.6878</v>
      </c>
      <c r="L316" s="204">
        <f t="shared" si="82"/>
        <v>12.477428400000001</v>
      </c>
      <c r="M316" s="204">
        <f t="shared" si="72"/>
        <v>15.374768400000001</v>
      </c>
      <c r="N316" s="204">
        <f t="shared" si="73"/>
        <v>18.953994000000002</v>
      </c>
    </row>
    <row r="317" spans="1:14" x14ac:dyDescent="0.25">
      <c r="A317" s="271">
        <v>10</v>
      </c>
      <c r="B317" s="272">
        <f t="shared" si="74"/>
        <v>94.88465152176606</v>
      </c>
      <c r="C317" s="273">
        <f t="shared" si="75"/>
        <v>94.88465152176606</v>
      </c>
      <c r="D317" s="273">
        <f t="shared" si="83"/>
        <v>94.88465152176606</v>
      </c>
      <c r="E317" s="273">
        <f t="shared" si="84"/>
        <v>94.88465152176606</v>
      </c>
      <c r="F317" s="266">
        <f t="shared" si="76"/>
        <v>2</v>
      </c>
      <c r="G317" s="266">
        <f t="shared" si="77"/>
        <v>2</v>
      </c>
      <c r="H317" s="266">
        <f t="shared" si="78"/>
        <v>2</v>
      </c>
      <c r="I317" s="312">
        <f t="shared" si="79"/>
        <v>1.1110800000000001</v>
      </c>
      <c r="J317" s="312">
        <f t="shared" si="80"/>
        <v>1.3690800000000001</v>
      </c>
      <c r="K317" s="312">
        <f t="shared" si="81"/>
        <v>1.6878</v>
      </c>
      <c r="L317" s="204">
        <f t="shared" si="82"/>
        <v>12.477428400000001</v>
      </c>
      <c r="M317" s="204">
        <f t="shared" si="72"/>
        <v>15.374768400000001</v>
      </c>
      <c r="N317" s="204">
        <f t="shared" si="73"/>
        <v>18.953994000000002</v>
      </c>
    </row>
    <row r="318" spans="1:14" x14ac:dyDescent="0.25">
      <c r="A318" s="271">
        <v>11</v>
      </c>
      <c r="B318" s="272">
        <f t="shared" si="74"/>
        <v>94.484132243889633</v>
      </c>
      <c r="C318" s="273">
        <f t="shared" si="75"/>
        <v>94.484132243889633</v>
      </c>
      <c r="D318" s="273">
        <f t="shared" si="83"/>
        <v>94.484132243889633</v>
      </c>
      <c r="E318" s="273">
        <f t="shared" si="84"/>
        <v>94.484132243889633</v>
      </c>
      <c r="F318" s="266">
        <f t="shared" si="76"/>
        <v>2</v>
      </c>
      <c r="G318" s="266">
        <f t="shared" si="77"/>
        <v>2</v>
      </c>
      <c r="H318" s="266">
        <f t="shared" si="78"/>
        <v>2</v>
      </c>
      <c r="I318" s="312">
        <f t="shared" si="79"/>
        <v>1.1110800000000001</v>
      </c>
      <c r="J318" s="312">
        <f t="shared" si="80"/>
        <v>1.3690800000000001</v>
      </c>
      <c r="K318" s="312">
        <f t="shared" si="81"/>
        <v>1.6878</v>
      </c>
      <c r="L318" s="204">
        <f t="shared" si="82"/>
        <v>12.477428400000001</v>
      </c>
      <c r="M318" s="204">
        <f t="shared" si="72"/>
        <v>15.374768400000001</v>
      </c>
      <c r="N318" s="204">
        <f t="shared" si="73"/>
        <v>18.953994000000002</v>
      </c>
    </row>
    <row r="319" spans="1:14" x14ac:dyDescent="0.25">
      <c r="A319" s="271">
        <v>12</v>
      </c>
      <c r="B319" s="272">
        <f t="shared" si="74"/>
        <v>94.071597387676903</v>
      </c>
      <c r="C319" s="273">
        <f t="shared" si="75"/>
        <v>94.071597387676903</v>
      </c>
      <c r="D319" s="273">
        <f t="shared" si="83"/>
        <v>94.071597387676903</v>
      </c>
      <c r="E319" s="273">
        <f t="shared" si="84"/>
        <v>94.071597387676903</v>
      </c>
      <c r="F319" s="266">
        <f t="shared" si="76"/>
        <v>2</v>
      </c>
      <c r="G319" s="266">
        <f t="shared" si="77"/>
        <v>2</v>
      </c>
      <c r="H319" s="266">
        <f t="shared" si="78"/>
        <v>2</v>
      </c>
      <c r="I319" s="312">
        <f t="shared" si="79"/>
        <v>1.1110800000000001</v>
      </c>
      <c r="J319" s="312">
        <f t="shared" si="80"/>
        <v>1.3690800000000001</v>
      </c>
      <c r="K319" s="312">
        <f t="shared" si="81"/>
        <v>1.6878</v>
      </c>
      <c r="L319" s="204">
        <f t="shared" si="82"/>
        <v>12.477428400000001</v>
      </c>
      <c r="M319" s="204">
        <f t="shared" si="72"/>
        <v>15.374768400000001</v>
      </c>
      <c r="N319" s="204">
        <f t="shared" si="73"/>
        <v>18.953994000000002</v>
      </c>
    </row>
    <row r="320" spans="1:14" x14ac:dyDescent="0.25">
      <c r="A320" s="271">
        <v>13</v>
      </c>
      <c r="B320" s="272">
        <f t="shared" si="74"/>
        <v>93.646686485777806</v>
      </c>
      <c r="C320" s="273">
        <f t="shared" si="75"/>
        <v>93.646686485777806</v>
      </c>
      <c r="D320" s="273">
        <f t="shared" si="83"/>
        <v>93.646686485777806</v>
      </c>
      <c r="E320" s="273">
        <f t="shared" si="84"/>
        <v>93.646686485777806</v>
      </c>
      <c r="F320" s="266">
        <f t="shared" si="76"/>
        <v>2</v>
      </c>
      <c r="G320" s="266">
        <f t="shared" si="77"/>
        <v>2</v>
      </c>
      <c r="H320" s="266">
        <f t="shared" si="78"/>
        <v>2</v>
      </c>
      <c r="I320" s="312">
        <f t="shared" si="79"/>
        <v>1.1110800000000001</v>
      </c>
      <c r="J320" s="312">
        <f t="shared" si="80"/>
        <v>1.3690800000000001</v>
      </c>
      <c r="K320" s="312">
        <f t="shared" si="81"/>
        <v>1.6878</v>
      </c>
      <c r="L320" s="204">
        <f t="shared" si="82"/>
        <v>12.477428400000001</v>
      </c>
      <c r="M320" s="204">
        <f t="shared" si="72"/>
        <v>15.374768400000001</v>
      </c>
      <c r="N320" s="204">
        <f t="shared" si="73"/>
        <v>18.953994000000002</v>
      </c>
    </row>
    <row r="321" spans="1:14" x14ac:dyDescent="0.25">
      <c r="A321" s="271">
        <v>14</v>
      </c>
      <c r="B321" s="272">
        <f t="shared" si="74"/>
        <v>93.209028256821725</v>
      </c>
      <c r="C321" s="273">
        <f t="shared" si="75"/>
        <v>93.209028256821725</v>
      </c>
      <c r="D321" s="273">
        <f t="shared" si="83"/>
        <v>93.209028256821725</v>
      </c>
      <c r="E321" s="273">
        <f t="shared" si="84"/>
        <v>93.209028256821725</v>
      </c>
      <c r="F321" s="266">
        <f t="shared" si="76"/>
        <v>2</v>
      </c>
      <c r="G321" s="266">
        <f t="shared" si="77"/>
        <v>2</v>
      </c>
      <c r="H321" s="266">
        <f t="shared" si="78"/>
        <v>2</v>
      </c>
      <c r="I321" s="312">
        <f t="shared" si="79"/>
        <v>1.1110800000000001</v>
      </c>
      <c r="J321" s="312">
        <f t="shared" si="80"/>
        <v>1.3690800000000001</v>
      </c>
      <c r="K321" s="312">
        <f t="shared" si="81"/>
        <v>1.6878</v>
      </c>
      <c r="L321" s="204">
        <f t="shared" si="82"/>
        <v>12.477428400000001</v>
      </c>
      <c r="M321" s="204">
        <f t="shared" si="72"/>
        <v>15.374768400000001</v>
      </c>
      <c r="N321" s="204">
        <f t="shared" si="73"/>
        <v>18.953994000000002</v>
      </c>
    </row>
    <row r="322" spans="1:14" x14ac:dyDescent="0.25">
      <c r="A322" s="271">
        <v>15</v>
      </c>
      <c r="B322" s="272">
        <f t="shared" si="74"/>
        <v>92.758240280996972</v>
      </c>
      <c r="C322" s="273">
        <f t="shared" si="75"/>
        <v>92.758240280996972</v>
      </c>
      <c r="D322" s="273">
        <f t="shared" si="83"/>
        <v>92.758240280996972</v>
      </c>
      <c r="E322" s="273">
        <f t="shared" si="84"/>
        <v>92.758240280996972</v>
      </c>
      <c r="F322" s="266">
        <f t="shared" si="76"/>
        <v>2</v>
      </c>
      <c r="G322" s="266">
        <f t="shared" si="77"/>
        <v>2</v>
      </c>
      <c r="H322" s="266">
        <f t="shared" si="78"/>
        <v>2</v>
      </c>
      <c r="I322" s="312">
        <f t="shared" si="79"/>
        <v>1.1110800000000001</v>
      </c>
      <c r="J322" s="312">
        <f t="shared" si="80"/>
        <v>1.3690800000000001</v>
      </c>
      <c r="K322" s="312">
        <f t="shared" si="81"/>
        <v>1.6878</v>
      </c>
      <c r="L322" s="204">
        <f t="shared" si="82"/>
        <v>12.477428400000001</v>
      </c>
      <c r="M322" s="204">
        <f t="shared" si="72"/>
        <v>15.374768400000001</v>
      </c>
      <c r="N322" s="204">
        <f t="shared" si="73"/>
        <v>18.953994000000002</v>
      </c>
    </row>
    <row r="323" spans="1:14" x14ac:dyDescent="0.25">
      <c r="A323" s="271">
        <v>16</v>
      </c>
      <c r="B323" s="272">
        <f t="shared" si="74"/>
        <v>92.467204377329523</v>
      </c>
      <c r="C323" s="273">
        <f t="shared" si="75"/>
        <v>92.467204377329523</v>
      </c>
      <c r="D323" s="273">
        <f t="shared" si="83"/>
        <v>92.467204377329523</v>
      </c>
      <c r="E323" s="273">
        <f t="shared" si="84"/>
        <v>92.467204377329523</v>
      </c>
      <c r="F323" s="266">
        <f t="shared" si="76"/>
        <v>2</v>
      </c>
      <c r="G323" s="266">
        <f t="shared" si="77"/>
        <v>2</v>
      </c>
      <c r="H323" s="266">
        <f t="shared" si="78"/>
        <v>2</v>
      </c>
      <c r="I323" s="312">
        <f t="shared" si="79"/>
        <v>1.1110800000000001</v>
      </c>
      <c r="J323" s="312">
        <f t="shared" si="80"/>
        <v>1.3690800000000001</v>
      </c>
      <c r="K323" s="312">
        <f t="shared" si="81"/>
        <v>1.6878</v>
      </c>
      <c r="L323" s="204">
        <f t="shared" si="82"/>
        <v>12.477428400000001</v>
      </c>
      <c r="M323" s="204">
        <f t="shared" si="72"/>
        <v>15.374768400000001</v>
      </c>
      <c r="N323" s="204">
        <f t="shared" si="73"/>
        <v>18.953994000000002</v>
      </c>
    </row>
    <row r="324" spans="1:14" x14ac:dyDescent="0.25">
      <c r="A324" s="271">
        <v>17</v>
      </c>
      <c r="B324" s="272">
        <f t="shared" si="74"/>
        <v>91.994161685120005</v>
      </c>
      <c r="C324" s="273">
        <f t="shared" si="75"/>
        <v>91.994161685120005</v>
      </c>
      <c r="D324" s="273">
        <f t="shared" si="83"/>
        <v>91.994161685120005</v>
      </c>
      <c r="E324" s="273">
        <f t="shared" si="84"/>
        <v>91.994161685120005</v>
      </c>
      <c r="F324" s="266">
        <f t="shared" si="76"/>
        <v>2</v>
      </c>
      <c r="G324" s="266">
        <f t="shared" si="77"/>
        <v>2</v>
      </c>
      <c r="H324" s="266">
        <f t="shared" si="78"/>
        <v>2</v>
      </c>
      <c r="I324" s="312">
        <f t="shared" si="79"/>
        <v>1.1110800000000001</v>
      </c>
      <c r="J324" s="312">
        <f t="shared" si="80"/>
        <v>1.3690800000000001</v>
      </c>
      <c r="K324" s="312">
        <f t="shared" si="81"/>
        <v>1.6878</v>
      </c>
      <c r="L324" s="204">
        <f t="shared" si="82"/>
        <v>12.477428400000001</v>
      </c>
      <c r="M324" s="204">
        <f t="shared" si="72"/>
        <v>15.374768400000001</v>
      </c>
      <c r="N324" s="204">
        <f t="shared" si="73"/>
        <v>18.953994000000002</v>
      </c>
    </row>
    <row r="325" spans="1:14" x14ac:dyDescent="0.25">
      <c r="A325" s="271">
        <v>18</v>
      </c>
      <c r="B325" s="272">
        <f t="shared" si="74"/>
        <v>91.50692771214419</v>
      </c>
      <c r="C325" s="273">
        <f t="shared" si="75"/>
        <v>91.50692771214419</v>
      </c>
      <c r="D325" s="273">
        <f t="shared" si="83"/>
        <v>91.50692771214419</v>
      </c>
      <c r="E325" s="273">
        <f t="shared" si="84"/>
        <v>91.50692771214419</v>
      </c>
      <c r="F325" s="266">
        <f t="shared" si="76"/>
        <v>2</v>
      </c>
      <c r="G325" s="266">
        <f t="shared" si="77"/>
        <v>2</v>
      </c>
      <c r="H325" s="266">
        <f t="shared" si="78"/>
        <v>2</v>
      </c>
      <c r="I325" s="312">
        <f t="shared" si="79"/>
        <v>1.1110800000000001</v>
      </c>
      <c r="J325" s="312">
        <f t="shared" si="80"/>
        <v>1.3690800000000001</v>
      </c>
      <c r="K325" s="312">
        <f t="shared" si="81"/>
        <v>1.6878</v>
      </c>
      <c r="L325" s="204">
        <f t="shared" si="82"/>
        <v>12.477428400000001</v>
      </c>
      <c r="M325" s="204">
        <f t="shared" si="72"/>
        <v>15.374768400000001</v>
      </c>
      <c r="N325" s="204">
        <f t="shared" si="73"/>
        <v>18.953994000000002</v>
      </c>
    </row>
    <row r="326" spans="1:14" x14ac:dyDescent="0.25">
      <c r="A326" s="271">
        <v>19</v>
      </c>
      <c r="B326" s="272">
        <f t="shared" si="74"/>
        <v>91.005076719979115</v>
      </c>
      <c r="C326" s="273">
        <f t="shared" si="75"/>
        <v>91.005076719979115</v>
      </c>
      <c r="D326" s="273">
        <f t="shared" si="83"/>
        <v>91.005076719979115</v>
      </c>
      <c r="E326" s="273">
        <f t="shared" si="84"/>
        <v>91.005076719979115</v>
      </c>
      <c r="F326" s="266">
        <f t="shared" si="76"/>
        <v>2</v>
      </c>
      <c r="G326" s="266">
        <f t="shared" si="77"/>
        <v>2</v>
      </c>
      <c r="H326" s="266">
        <f t="shared" si="78"/>
        <v>2</v>
      </c>
      <c r="I326" s="312">
        <f t="shared" si="79"/>
        <v>1.1110800000000001</v>
      </c>
      <c r="J326" s="312">
        <f t="shared" si="80"/>
        <v>1.3690800000000001</v>
      </c>
      <c r="K326" s="312">
        <f t="shared" si="81"/>
        <v>1.6878</v>
      </c>
      <c r="L326" s="204">
        <f t="shared" si="82"/>
        <v>12.477428400000001</v>
      </c>
      <c r="M326" s="204">
        <f t="shared" si="72"/>
        <v>15.374768400000001</v>
      </c>
      <c r="N326" s="204">
        <f t="shared" si="73"/>
        <v>18.953994000000002</v>
      </c>
    </row>
    <row r="327" spans="1:14" x14ac:dyDescent="0.25">
      <c r="A327" s="271">
        <v>20</v>
      </c>
      <c r="B327" s="272">
        <f t="shared" si="74"/>
        <v>90.488170198049062</v>
      </c>
      <c r="C327" s="273">
        <f t="shared" si="75"/>
        <v>90.488170198049062</v>
      </c>
      <c r="D327" s="273">
        <f t="shared" si="83"/>
        <v>90.488170198049062</v>
      </c>
      <c r="E327" s="273">
        <f t="shared" si="84"/>
        <v>90.488170198049062</v>
      </c>
      <c r="F327" s="266">
        <f t="shared" si="76"/>
        <v>2</v>
      </c>
      <c r="G327" s="266">
        <f t="shared" si="77"/>
        <v>2</v>
      </c>
      <c r="H327" s="266">
        <f t="shared" si="78"/>
        <v>2</v>
      </c>
      <c r="I327" s="312">
        <f t="shared" si="79"/>
        <v>1.1110800000000001</v>
      </c>
      <c r="J327" s="312">
        <f t="shared" si="80"/>
        <v>1.3690800000000001</v>
      </c>
      <c r="K327" s="312">
        <f t="shared" si="81"/>
        <v>1.6878</v>
      </c>
      <c r="L327" s="204">
        <f t="shared" si="82"/>
        <v>12.477428400000001</v>
      </c>
      <c r="M327" s="204">
        <f t="shared" si="72"/>
        <v>15.374768400000001</v>
      </c>
      <c r="N327" s="204">
        <f t="shared" si="73"/>
        <v>18.953994000000002</v>
      </c>
    </row>
    <row r="328" spans="1:14" x14ac:dyDescent="0.25">
      <c r="A328" s="271">
        <v>21</v>
      </c>
      <c r="B328" s="272">
        <f t="shared" si="74"/>
        <v>89.955756480461133</v>
      </c>
      <c r="C328" s="273">
        <f t="shared" si="75"/>
        <v>89.955756480461133</v>
      </c>
      <c r="D328" s="273">
        <f t="shared" si="83"/>
        <v>89.955756480461133</v>
      </c>
      <c r="E328" s="273">
        <f t="shared" si="84"/>
        <v>89.955756480461133</v>
      </c>
      <c r="F328" s="266">
        <f t="shared" si="76"/>
        <v>2</v>
      </c>
      <c r="G328" s="266">
        <f t="shared" si="77"/>
        <v>2</v>
      </c>
      <c r="H328" s="266">
        <f t="shared" si="78"/>
        <v>2</v>
      </c>
      <c r="I328" s="312">
        <f t="shared" si="79"/>
        <v>1.1110800000000001</v>
      </c>
      <c r="J328" s="312">
        <f t="shared" si="80"/>
        <v>1.3690800000000001</v>
      </c>
      <c r="K328" s="312">
        <f t="shared" si="81"/>
        <v>1.6878</v>
      </c>
      <c r="L328" s="204">
        <f t="shared" si="82"/>
        <v>12.477428400000001</v>
      </c>
      <c r="M328" s="204">
        <f t="shared" si="72"/>
        <v>15.374768400000001</v>
      </c>
      <c r="N328" s="204">
        <f t="shared" si="73"/>
        <v>18.953994000000002</v>
      </c>
    </row>
    <row r="329" spans="1:14" x14ac:dyDescent="0.25">
      <c r="A329" s="271">
        <v>22</v>
      </c>
      <c r="B329" s="272">
        <f t="shared" si="74"/>
        <v>89.407370351345548</v>
      </c>
      <c r="C329" s="273">
        <f t="shared" si="75"/>
        <v>89.407370351345548</v>
      </c>
      <c r="D329" s="273">
        <f t="shared" si="83"/>
        <v>89.407370351345548</v>
      </c>
      <c r="E329" s="273">
        <f t="shared" si="84"/>
        <v>89.407370351345548</v>
      </c>
      <c r="F329" s="266">
        <f t="shared" si="76"/>
        <v>2</v>
      </c>
      <c r="G329" s="266">
        <f t="shared" si="77"/>
        <v>2</v>
      </c>
      <c r="H329" s="266">
        <f t="shared" si="78"/>
        <v>2</v>
      </c>
      <c r="I329" s="312">
        <f t="shared" si="79"/>
        <v>1.1110800000000001</v>
      </c>
      <c r="J329" s="312">
        <f t="shared" si="80"/>
        <v>1.3690800000000001</v>
      </c>
      <c r="K329" s="312">
        <f t="shared" si="81"/>
        <v>1.6878</v>
      </c>
      <c r="L329" s="204">
        <f t="shared" si="82"/>
        <v>12.477428400000001</v>
      </c>
      <c r="M329" s="204">
        <f t="shared" si="72"/>
        <v>15.374768400000001</v>
      </c>
      <c r="N329" s="204">
        <f t="shared" si="73"/>
        <v>18.953994000000002</v>
      </c>
    </row>
    <row r="330" spans="1:14" x14ac:dyDescent="0.25">
      <c r="A330" s="271">
        <v>23</v>
      </c>
      <c r="B330" s="272">
        <f t="shared" si="74"/>
        <v>88.842532638356516</v>
      </c>
      <c r="C330" s="273">
        <f t="shared" si="75"/>
        <v>88.842532638356516</v>
      </c>
      <c r="D330" s="273">
        <f t="shared" si="83"/>
        <v>88.842532638356516</v>
      </c>
      <c r="E330" s="273">
        <f t="shared" si="84"/>
        <v>88.842532638356516</v>
      </c>
      <c r="F330" s="266">
        <f t="shared" si="76"/>
        <v>2</v>
      </c>
      <c r="G330" s="266">
        <f t="shared" si="77"/>
        <v>2</v>
      </c>
      <c r="H330" s="266">
        <f t="shared" si="78"/>
        <v>2</v>
      </c>
      <c r="I330" s="312">
        <f t="shared" si="79"/>
        <v>1.1110800000000001</v>
      </c>
      <c r="J330" s="312">
        <f t="shared" si="80"/>
        <v>1.3690800000000001</v>
      </c>
      <c r="K330" s="312">
        <f t="shared" si="81"/>
        <v>1.6878</v>
      </c>
      <c r="L330" s="204">
        <f t="shared" si="82"/>
        <v>12.477428400000001</v>
      </c>
      <c r="M330" s="204">
        <f t="shared" si="72"/>
        <v>15.374768400000001</v>
      </c>
      <c r="N330" s="204">
        <f t="shared" si="73"/>
        <v>18.953994000000002</v>
      </c>
    </row>
    <row r="331" spans="1:14" x14ac:dyDescent="0.25">
      <c r="A331" s="271">
        <v>24</v>
      </c>
      <c r="B331" s="272">
        <f t="shared" si="74"/>
        <v>88.260749793977794</v>
      </c>
      <c r="C331" s="273">
        <f t="shared" si="75"/>
        <v>88.260749793977794</v>
      </c>
      <c r="D331" s="273">
        <f t="shared" si="83"/>
        <v>88.260749793977794</v>
      </c>
      <c r="E331" s="273">
        <f t="shared" si="84"/>
        <v>88.260749793977794</v>
      </c>
      <c r="F331" s="266">
        <f t="shared" si="76"/>
        <v>2</v>
      </c>
      <c r="G331" s="266">
        <f t="shared" si="77"/>
        <v>2</v>
      </c>
      <c r="H331" s="266">
        <f t="shared" si="78"/>
        <v>2</v>
      </c>
      <c r="I331" s="312">
        <f t="shared" si="79"/>
        <v>1.1110800000000001</v>
      </c>
      <c r="J331" s="312">
        <f t="shared" si="80"/>
        <v>1.3690800000000001</v>
      </c>
      <c r="K331" s="312">
        <f t="shared" si="81"/>
        <v>1.6878</v>
      </c>
      <c r="L331" s="204">
        <f t="shared" si="82"/>
        <v>12.477428400000001</v>
      </c>
      <c r="M331" s="204">
        <f t="shared" si="72"/>
        <v>15.374768400000001</v>
      </c>
      <c r="N331" s="204">
        <f t="shared" si="73"/>
        <v>18.953994000000002</v>
      </c>
    </row>
    <row r="332" spans="1:14" x14ac:dyDescent="0.25">
      <c r="A332" s="271">
        <v>25</v>
      </c>
      <c r="B332" s="272">
        <f t="shared" si="74"/>
        <v>87.661513464267713</v>
      </c>
      <c r="C332" s="273">
        <f t="shared" si="75"/>
        <v>87.661513464267713</v>
      </c>
      <c r="D332" s="273">
        <f t="shared" si="83"/>
        <v>87.661513464267713</v>
      </c>
      <c r="E332" s="273">
        <f t="shared" si="84"/>
        <v>87.661513464267713</v>
      </c>
      <c r="F332" s="266">
        <f t="shared" si="76"/>
        <v>2</v>
      </c>
      <c r="G332" s="266">
        <f t="shared" si="77"/>
        <v>2</v>
      </c>
      <c r="H332" s="266">
        <f t="shared" si="78"/>
        <v>2</v>
      </c>
      <c r="I332" s="312">
        <f t="shared" si="79"/>
        <v>1.1110800000000001</v>
      </c>
      <c r="J332" s="312">
        <f t="shared" si="80"/>
        <v>1.3690800000000001</v>
      </c>
      <c r="K332" s="312">
        <f t="shared" si="81"/>
        <v>1.6878</v>
      </c>
      <c r="L332" s="204">
        <f t="shared" si="82"/>
        <v>12.477428400000001</v>
      </c>
      <c r="M332" s="204">
        <f t="shared" si="72"/>
        <v>15.374768400000001</v>
      </c>
      <c r="N332" s="204">
        <f t="shared" si="73"/>
        <v>18.953994000000002</v>
      </c>
    </row>
    <row r="333" spans="1:14" x14ac:dyDescent="0.25">
      <c r="A333" s="271">
        <v>26</v>
      </c>
      <c r="B333" s="272">
        <f t="shared" si="74"/>
        <v>87.272160195988704</v>
      </c>
      <c r="C333" s="273">
        <f t="shared" si="75"/>
        <v>87.272160195988704</v>
      </c>
      <c r="D333" s="273">
        <f t="shared" si="83"/>
        <v>87.272160195988704</v>
      </c>
      <c r="E333" s="273">
        <f t="shared" si="84"/>
        <v>87.272160195988704</v>
      </c>
      <c r="F333" s="266">
        <f t="shared" si="76"/>
        <v>2</v>
      </c>
      <c r="G333" s="266">
        <f t="shared" si="77"/>
        <v>2</v>
      </c>
      <c r="H333" s="266">
        <f t="shared" si="78"/>
        <v>2</v>
      </c>
      <c r="I333" s="312">
        <f t="shared" si="79"/>
        <v>1.1110800000000001</v>
      </c>
      <c r="J333" s="312">
        <f t="shared" si="80"/>
        <v>1.3690800000000001</v>
      </c>
      <c r="K333" s="312">
        <f t="shared" si="81"/>
        <v>1.6878</v>
      </c>
      <c r="L333" s="204">
        <f t="shared" si="82"/>
        <v>12.477428400000001</v>
      </c>
      <c r="M333" s="204">
        <f t="shared" si="72"/>
        <v>15.374768400000001</v>
      </c>
      <c r="N333" s="204">
        <f t="shared" si="73"/>
        <v>18.953994000000002</v>
      </c>
    </row>
    <row r="334" spans="1:14" x14ac:dyDescent="0.25">
      <c r="A334" s="271">
        <v>27</v>
      </c>
      <c r="B334" s="272">
        <f t="shared" si="74"/>
        <v>86.643266178338962</v>
      </c>
      <c r="C334" s="273">
        <f t="shared" si="75"/>
        <v>86.643266178338962</v>
      </c>
      <c r="D334" s="273">
        <f t="shared" si="83"/>
        <v>86.643266178338962</v>
      </c>
      <c r="E334" s="273">
        <f t="shared" si="84"/>
        <v>86.643266178338962</v>
      </c>
      <c r="F334" s="266">
        <f t="shared" si="76"/>
        <v>2</v>
      </c>
      <c r="G334" s="266">
        <f t="shared" si="77"/>
        <v>2</v>
      </c>
      <c r="H334" s="266">
        <f t="shared" si="78"/>
        <v>2</v>
      </c>
      <c r="I334" s="312">
        <f t="shared" si="79"/>
        <v>1.1110800000000001</v>
      </c>
      <c r="J334" s="312">
        <f t="shared" si="80"/>
        <v>1.3690800000000001</v>
      </c>
      <c r="K334" s="312">
        <f t="shared" si="81"/>
        <v>1.6878</v>
      </c>
      <c r="L334" s="204">
        <f t="shared" si="82"/>
        <v>12.477428400000001</v>
      </c>
      <c r="M334" s="204">
        <f t="shared" si="72"/>
        <v>15.374768400000001</v>
      </c>
      <c r="N334" s="204">
        <f t="shared" si="73"/>
        <v>18.953994000000002</v>
      </c>
    </row>
    <row r="335" spans="1:14" x14ac:dyDescent="0.25">
      <c r="A335" s="271">
        <v>28</v>
      </c>
      <c r="B335" s="272">
        <f t="shared" si="74"/>
        <v>85.99550534015971</v>
      </c>
      <c r="C335" s="273">
        <f t="shared" si="75"/>
        <v>85.99550534015971</v>
      </c>
      <c r="D335" s="273">
        <f t="shared" si="83"/>
        <v>85.99550534015971</v>
      </c>
      <c r="E335" s="273">
        <f t="shared" si="84"/>
        <v>85.99550534015971</v>
      </c>
      <c r="F335" s="266">
        <f t="shared" si="76"/>
        <v>2</v>
      </c>
      <c r="G335" s="266">
        <f t="shared" si="77"/>
        <v>2</v>
      </c>
      <c r="H335" s="266">
        <f t="shared" si="78"/>
        <v>2</v>
      </c>
      <c r="I335" s="312">
        <f t="shared" si="79"/>
        <v>1.1110800000000001</v>
      </c>
      <c r="J335" s="312">
        <f t="shared" si="80"/>
        <v>1.3690800000000001</v>
      </c>
      <c r="K335" s="312">
        <f t="shared" si="81"/>
        <v>1.6878</v>
      </c>
      <c r="L335" s="204">
        <f t="shared" si="82"/>
        <v>12.477428400000001</v>
      </c>
      <c r="M335" s="204">
        <f t="shared" si="72"/>
        <v>15.374768400000001</v>
      </c>
      <c r="N335" s="204">
        <f t="shared" si="73"/>
        <v>18.953994000000002</v>
      </c>
    </row>
    <row r="336" spans="1:14" x14ac:dyDescent="0.25">
      <c r="A336" s="271">
        <v>29</v>
      </c>
      <c r="B336" s="272">
        <f t="shared" si="74"/>
        <v>85.328311676835099</v>
      </c>
      <c r="C336" s="273">
        <f t="shared" si="75"/>
        <v>85.328311676835099</v>
      </c>
      <c r="D336" s="273">
        <f t="shared" si="83"/>
        <v>85.328311676835099</v>
      </c>
      <c r="E336" s="273">
        <f t="shared" si="84"/>
        <v>85.328311676835099</v>
      </c>
      <c r="F336" s="266">
        <f t="shared" si="76"/>
        <v>2</v>
      </c>
      <c r="G336" s="266">
        <f t="shared" si="77"/>
        <v>2</v>
      </c>
      <c r="H336" s="266">
        <f t="shared" si="78"/>
        <v>2</v>
      </c>
      <c r="I336" s="312">
        <f t="shared" si="79"/>
        <v>1.1110800000000001</v>
      </c>
      <c r="J336" s="312">
        <f t="shared" si="80"/>
        <v>1.3690800000000001</v>
      </c>
      <c r="K336" s="312">
        <f t="shared" si="81"/>
        <v>1.6878</v>
      </c>
      <c r="L336" s="204">
        <f t="shared" si="82"/>
        <v>12.477428400000001</v>
      </c>
      <c r="M336" s="204">
        <f t="shared" si="72"/>
        <v>15.374768400000001</v>
      </c>
      <c r="N336" s="204">
        <f t="shared" si="73"/>
        <v>18.953994000000002</v>
      </c>
    </row>
    <row r="337" spans="1:14" x14ac:dyDescent="0.25">
      <c r="A337" s="271">
        <v>30</v>
      </c>
      <c r="B337" s="272">
        <f t="shared" si="74"/>
        <v>84.641102203610743</v>
      </c>
      <c r="C337" s="273">
        <f t="shared" si="75"/>
        <v>84.641102203610743</v>
      </c>
      <c r="D337" s="273">
        <f t="shared" si="83"/>
        <v>84.641102203610743</v>
      </c>
      <c r="E337" s="273">
        <f t="shared" si="84"/>
        <v>84.641102203610743</v>
      </c>
      <c r="F337" s="266">
        <f t="shared" si="76"/>
        <v>2</v>
      </c>
      <c r="G337" s="266">
        <f t="shared" si="77"/>
        <v>2</v>
      </c>
      <c r="H337" s="266">
        <f t="shared" si="78"/>
        <v>2</v>
      </c>
      <c r="I337" s="312">
        <f t="shared" si="79"/>
        <v>1.1110800000000001</v>
      </c>
      <c r="J337" s="312">
        <f t="shared" si="80"/>
        <v>1.3690800000000001</v>
      </c>
      <c r="K337" s="312">
        <f t="shared" si="81"/>
        <v>1.6878</v>
      </c>
      <c r="L337" s="204">
        <f t="shared" si="82"/>
        <v>12.477428400000001</v>
      </c>
      <c r="M337" s="204">
        <f t="shared" si="72"/>
        <v>15.374768400000001</v>
      </c>
      <c r="N337" s="204">
        <f t="shared" si="73"/>
        <v>18.953994000000002</v>
      </c>
    </row>
    <row r="338" spans="1:14" x14ac:dyDescent="0.25">
      <c r="A338" s="271">
        <v>31</v>
      </c>
      <c r="B338" s="272">
        <f t="shared" si="74"/>
        <v>83.933276446189637</v>
      </c>
      <c r="C338" s="273">
        <f t="shared" si="75"/>
        <v>83.933276446189637</v>
      </c>
      <c r="D338" s="273">
        <f>C338</f>
        <v>83.933276446189637</v>
      </c>
      <c r="E338" s="273">
        <f>D338</f>
        <v>83.933276446189637</v>
      </c>
      <c r="F338" s="266">
        <f t="shared" si="76"/>
        <v>2</v>
      </c>
      <c r="G338" s="266">
        <f t="shared" si="77"/>
        <v>2</v>
      </c>
      <c r="H338" s="266">
        <f t="shared" si="78"/>
        <v>2</v>
      </c>
      <c r="I338" s="312">
        <f>0.000135*(F338)^3-0.002*(F338)^2+0.036*(F338)+1.046</f>
        <v>1.1110800000000001</v>
      </c>
      <c r="J338" s="312">
        <f>0.000135*(G338)^3-0.002*(G338)^2+0.04*(G338)+1.296</f>
        <v>1.3690800000000001</v>
      </c>
      <c r="K338" s="312">
        <f>0.00095*(H338)^2+0.022*(H338)+1.64</f>
        <v>1.6878</v>
      </c>
      <c r="L338" s="204">
        <f t="shared" ref="L338:N339" si="85">$B$265*I338</f>
        <v>12.477428400000001</v>
      </c>
      <c r="M338" s="204">
        <f t="shared" si="85"/>
        <v>15.374768400000001</v>
      </c>
      <c r="N338" s="204">
        <f t="shared" si="85"/>
        <v>18.953994000000002</v>
      </c>
    </row>
    <row r="339" spans="1:14" x14ac:dyDescent="0.25">
      <c r="A339" s="271">
        <v>32</v>
      </c>
      <c r="B339" s="272">
        <f t="shared" si="74"/>
        <v>83.204215916045925</v>
      </c>
      <c r="C339" s="273">
        <f t="shared" si="75"/>
        <v>83.204215916045925</v>
      </c>
      <c r="D339" s="273">
        <f>C339</f>
        <v>83.204215916045925</v>
      </c>
      <c r="E339" s="273">
        <f>D339</f>
        <v>83.204215916045925</v>
      </c>
      <c r="F339" s="266">
        <f t="shared" si="76"/>
        <v>2</v>
      </c>
      <c r="G339" s="266">
        <f t="shared" si="77"/>
        <v>2</v>
      </c>
      <c r="H339" s="266">
        <f t="shared" si="78"/>
        <v>2</v>
      </c>
      <c r="I339" s="312">
        <f>0.000135*(F339)^3-0.002*(F339)^2+0.036*(F339)+1.046</f>
        <v>1.1110800000000001</v>
      </c>
      <c r="J339" s="312">
        <f>0.000135*(G339)^3-0.002*(G339)^2+0.04*(G339)+1.296</f>
        <v>1.3690800000000001</v>
      </c>
      <c r="K339" s="312">
        <f>0.00095*(H339)^2+0.022*(H339)+1.64</f>
        <v>1.6878</v>
      </c>
      <c r="L339" s="204">
        <f t="shared" si="85"/>
        <v>12.477428400000001</v>
      </c>
      <c r="M339" s="204">
        <f t="shared" si="85"/>
        <v>15.374768400000001</v>
      </c>
      <c r="N339" s="204">
        <f t="shared" si="85"/>
        <v>18.953994000000002</v>
      </c>
    </row>
    <row r="341" spans="1:14" x14ac:dyDescent="0.25">
      <c r="A341" s="239" t="s">
        <v>44</v>
      </c>
      <c r="B341" s="239"/>
      <c r="C341" s="19"/>
    </row>
    <row r="342" spans="1:14" x14ac:dyDescent="0.25">
      <c r="A342" t="s">
        <v>258</v>
      </c>
      <c r="C342" t="s">
        <v>259</v>
      </c>
    </row>
    <row r="343" spans="1:14" x14ac:dyDescent="0.25">
      <c r="A343" s="43" t="s">
        <v>228</v>
      </c>
      <c r="B343" s="43">
        <v>11.23</v>
      </c>
    </row>
    <row r="344" spans="1:14" x14ac:dyDescent="0.25">
      <c r="A344" s="43" t="s">
        <v>99</v>
      </c>
      <c r="B344" s="169">
        <f>B96</f>
        <v>80</v>
      </c>
      <c r="C344" s="575" t="s">
        <v>229</v>
      </c>
      <c r="D344" s="575"/>
      <c r="E344" s="575"/>
      <c r="F344" s="575" t="s">
        <v>230</v>
      </c>
      <c r="G344" s="576"/>
      <c r="H344" s="576"/>
      <c r="I344" s="575" t="s">
        <v>231</v>
      </c>
      <c r="J344" s="575"/>
      <c r="K344" s="575"/>
      <c r="L344" s="575" t="s">
        <v>240</v>
      </c>
      <c r="M344" s="575"/>
      <c r="N344" s="575"/>
    </row>
    <row r="345" spans="1:14" x14ac:dyDescent="0.25">
      <c r="A345" s="35" t="s">
        <v>18</v>
      </c>
      <c r="B345" s="95" t="s">
        <v>20</v>
      </c>
      <c r="C345" s="270" t="s">
        <v>233</v>
      </c>
      <c r="D345" s="270" t="s">
        <v>234</v>
      </c>
      <c r="E345" s="270" t="s">
        <v>235</v>
      </c>
      <c r="F345" s="270" t="s">
        <v>233</v>
      </c>
      <c r="G345" s="270" t="s">
        <v>234</v>
      </c>
      <c r="H345" s="270" t="s">
        <v>235</v>
      </c>
      <c r="I345" s="270" t="s">
        <v>233</v>
      </c>
      <c r="J345" s="270" t="s">
        <v>234</v>
      </c>
      <c r="K345" s="270" t="s">
        <v>235</v>
      </c>
      <c r="L345" s="270" t="s">
        <v>233</v>
      </c>
      <c r="M345" s="270" t="s">
        <v>234</v>
      </c>
      <c r="N345" s="270" t="s">
        <v>235</v>
      </c>
    </row>
    <row r="346" spans="1:14" x14ac:dyDescent="0.25">
      <c r="A346" s="271">
        <v>0</v>
      </c>
      <c r="B346" s="272">
        <f>B96*$G$257</f>
        <v>75.294117647058826</v>
      </c>
      <c r="C346" s="273">
        <f>B346</f>
        <v>75.294117647058826</v>
      </c>
      <c r="D346" s="273">
        <f>C346</f>
        <v>75.294117647058826</v>
      </c>
      <c r="E346" s="273">
        <f>D346</f>
        <v>75.294117647058826</v>
      </c>
      <c r="F346" s="266">
        <f>IF(C346&gt;$B$250,$A$250,IF(C346&gt;$B$251,$A$251,IF(C346&gt;$B$252,$A$252,IF(C346&gt;$B$253,$A$253,IF(C346&gt;$B$254,$A$254,IF(C346&gt;$B$255,$A$255,IF(C346&gt;$B$256,$A$256,IF(C346&gt;$B$257,$A$257,IF(C346&gt;$B$258,$A$258,IF(C346&gt;$B$259,$A$259,IF(C346&gt;$B$260,$A$260,12)))))))))))</f>
        <v>6</v>
      </c>
      <c r="G346" s="266">
        <f>IF(D346&gt;$C$250,$A$250,IF(D346&gt;$C$251,$A$251,IF(D346&gt;$C$252,$A$252,IF(D346&gt;$C$253,$A$253,IF(D346&gt;$C$254,$A$254,IF(D346&gt;$C$255,$A$255,IF(D346&gt;$C$256,$A$256,IF(D346&gt;$C$257,$A$257,IF(D346&gt;$C$258,$A$258,IF(D346&gt;$C$259,$A$259,IF(D346&gt;$C$260,$A$260,12)))))))))))</f>
        <v>2</v>
      </c>
      <c r="H346" s="266">
        <f>IF(E346&gt;$D$250,$A$250,IF(E346&gt;$D$251,$A$251,IF(E346&gt;$D$252,$A$252,IF(E346&gt;$D$253,$A$253,IF(E346&gt;$D$254,$A$254,IF(E346&gt;$D$255,$A$255,IF(E346&gt;$D$256,$A$256,IF(E346&gt;$D$257,$A$257,IF(E346&gt;$D$258,$A$258,IF(E346&gt;$D$259,$A$259,IF(E346&gt;$D$260,$A$260,12)))))))))))</f>
        <v>2</v>
      </c>
      <c r="I346" s="312">
        <f>0.000135*(F346)^3-0.002*(F346)^2+0.036*(F346)+1.046</f>
        <v>1.21916</v>
      </c>
      <c r="J346" s="312">
        <f>0.000135*(G346)^3-0.002*(G346)^2+0.04*(G346)+1.296</f>
        <v>1.3690800000000001</v>
      </c>
      <c r="K346" s="312">
        <f>0.00095*(H346)^2+0.022*(H346)+1.64</f>
        <v>1.6878</v>
      </c>
      <c r="L346" s="204">
        <f>$B$265*I346</f>
        <v>13.691166800000001</v>
      </c>
      <c r="M346" s="204">
        <f t="shared" ref="M346:M376" si="86">$B$265*J346</f>
        <v>15.374768400000001</v>
      </c>
      <c r="N346" s="204">
        <f t="shared" ref="N346:N376" si="87">$B$265*K346</f>
        <v>18.953994000000002</v>
      </c>
    </row>
    <row r="347" spans="1:14" x14ac:dyDescent="0.25">
      <c r="A347" s="271">
        <v>1</v>
      </c>
      <c r="B347" s="272">
        <f t="shared" ref="B347:B378" si="88">B97*$G$257</f>
        <v>75.294117647058826</v>
      </c>
      <c r="C347" s="273">
        <f t="shared" ref="C347:C378" si="89">B347</f>
        <v>75.294117647058826</v>
      </c>
      <c r="D347" s="311">
        <f>C347</f>
        <v>75.294117647058826</v>
      </c>
      <c r="E347" s="311">
        <f>D347</f>
        <v>75.294117647058826</v>
      </c>
      <c r="F347" s="266">
        <f t="shared" ref="F347:F378" si="90">IF(C347&gt;$B$250,$A$250,IF(C347&gt;$B$251,$A$251,IF(C347&gt;$B$252,$A$252,IF(C347&gt;$B$253,$A$253,IF(C347&gt;$B$254,$A$254,IF(C347&gt;$B$255,$A$255,IF(C347&gt;$B$256,$A$256,IF(C347&gt;$B$257,$A$257,IF(C347&gt;$B$258,$A$258,IF(C347&gt;$B$259,$A$259,IF(C347&gt;$B$260,$A$260,12)))))))))))</f>
        <v>6</v>
      </c>
      <c r="G347" s="266">
        <f t="shared" ref="G347:G378" si="91">IF(D347&gt;$C$250,$A$250,IF(D347&gt;$C$251,$A$251,IF(D347&gt;$C$252,$A$252,IF(D347&gt;$C$253,$A$253,IF(D347&gt;$C$254,$A$254,IF(D347&gt;$C$255,$A$255,IF(D347&gt;$C$256,$A$256,IF(D347&gt;$C$257,$A$257,IF(D347&gt;$C$258,$A$258,IF(D347&gt;$C$259,$A$259,IF(D347&gt;$C$260,$A$260,12)))))))))))</f>
        <v>2</v>
      </c>
      <c r="H347" s="266">
        <f t="shared" ref="H347:H378" si="92">IF(E347&gt;$D$250,$A$250,IF(E347&gt;$D$251,$A$251,IF(E347&gt;$D$252,$A$252,IF(E347&gt;$D$253,$A$253,IF(E347&gt;$D$254,$A$254,IF(E347&gt;$D$255,$A$255,IF(E347&gt;$D$256,$A$256,IF(E347&gt;$D$257,$A$257,IF(E347&gt;$D$258,$A$258,IF(E347&gt;$D$259,$A$259,IF(E347&gt;$D$260,$A$260,12)))))))))))</f>
        <v>2</v>
      </c>
      <c r="I347" s="312">
        <f t="shared" ref="I347:I376" si="93">0.000135*(F347)^3-0.002*(F347)^2+0.036*(F347)+1.046</f>
        <v>1.21916</v>
      </c>
      <c r="J347" s="312">
        <f t="shared" ref="J347:J376" si="94">0.000135*(G347)^3-0.002*(G347)^2+0.04*(G347)+1.296</f>
        <v>1.3690800000000001</v>
      </c>
      <c r="K347" s="312">
        <f t="shared" ref="K347:K376" si="95">0.00095*(H347)^2+0.022*(H347)+1.64</f>
        <v>1.6878</v>
      </c>
      <c r="L347" s="204">
        <f t="shared" ref="L347:L376" si="96">$B$265*I347</f>
        <v>13.691166800000001</v>
      </c>
      <c r="M347" s="204">
        <f t="shared" si="86"/>
        <v>15.374768400000001</v>
      </c>
      <c r="N347" s="204">
        <f t="shared" si="87"/>
        <v>18.953994000000002</v>
      </c>
    </row>
    <row r="348" spans="1:14" x14ac:dyDescent="0.25">
      <c r="A348" s="271">
        <v>2</v>
      </c>
      <c r="B348" s="272">
        <f t="shared" si="88"/>
        <v>75.294117647058826</v>
      </c>
      <c r="C348" s="273">
        <f t="shared" si="89"/>
        <v>75.294117647058826</v>
      </c>
      <c r="D348" s="273">
        <f>C348</f>
        <v>75.294117647058826</v>
      </c>
      <c r="E348" s="273">
        <f>D348</f>
        <v>75.294117647058826</v>
      </c>
      <c r="F348" s="266">
        <f t="shared" si="90"/>
        <v>6</v>
      </c>
      <c r="G348" s="266">
        <f t="shared" si="91"/>
        <v>2</v>
      </c>
      <c r="H348" s="266">
        <f t="shared" si="92"/>
        <v>2</v>
      </c>
      <c r="I348" s="312">
        <f t="shared" si="93"/>
        <v>1.21916</v>
      </c>
      <c r="J348" s="312">
        <f t="shared" si="94"/>
        <v>1.3690800000000001</v>
      </c>
      <c r="K348" s="312">
        <f t="shared" si="95"/>
        <v>1.6878</v>
      </c>
      <c r="L348" s="204">
        <f t="shared" si="96"/>
        <v>13.691166800000001</v>
      </c>
      <c r="M348" s="204">
        <f t="shared" si="86"/>
        <v>15.374768400000001</v>
      </c>
      <c r="N348" s="204">
        <f t="shared" si="87"/>
        <v>18.953994000000002</v>
      </c>
    </row>
    <row r="349" spans="1:14" x14ac:dyDescent="0.25">
      <c r="A349" s="271">
        <v>3</v>
      </c>
      <c r="B349" s="272">
        <f t="shared" si="88"/>
        <v>75.294117647058826</v>
      </c>
      <c r="C349" s="273">
        <f t="shared" si="89"/>
        <v>75.294117647058826</v>
      </c>
      <c r="D349" s="273">
        <f t="shared" ref="D349:D376" si="97">C349</f>
        <v>75.294117647058826</v>
      </c>
      <c r="E349" s="273">
        <f t="shared" ref="E349:E376" si="98">D349</f>
        <v>75.294117647058826</v>
      </c>
      <c r="F349" s="266">
        <f t="shared" si="90"/>
        <v>6</v>
      </c>
      <c r="G349" s="266">
        <f t="shared" si="91"/>
        <v>2</v>
      </c>
      <c r="H349" s="266">
        <f t="shared" si="92"/>
        <v>2</v>
      </c>
      <c r="I349" s="312">
        <f t="shared" si="93"/>
        <v>1.21916</v>
      </c>
      <c r="J349" s="312">
        <f t="shared" si="94"/>
        <v>1.3690800000000001</v>
      </c>
      <c r="K349" s="312">
        <f t="shared" si="95"/>
        <v>1.6878</v>
      </c>
      <c r="L349" s="204">
        <f t="shared" si="96"/>
        <v>13.691166800000001</v>
      </c>
      <c r="M349" s="204">
        <f t="shared" si="86"/>
        <v>15.374768400000001</v>
      </c>
      <c r="N349" s="204">
        <f t="shared" si="87"/>
        <v>18.953994000000002</v>
      </c>
    </row>
    <row r="350" spans="1:14" x14ac:dyDescent="0.25">
      <c r="A350" s="271">
        <v>4</v>
      </c>
      <c r="B350" s="272">
        <f t="shared" si="88"/>
        <v>75.294117647058826</v>
      </c>
      <c r="C350" s="273">
        <f t="shared" si="89"/>
        <v>75.294117647058826</v>
      </c>
      <c r="D350" s="273">
        <f t="shared" si="97"/>
        <v>75.294117647058826</v>
      </c>
      <c r="E350" s="273">
        <f t="shared" si="98"/>
        <v>75.294117647058826</v>
      </c>
      <c r="F350" s="266">
        <f t="shared" si="90"/>
        <v>6</v>
      </c>
      <c r="G350" s="266">
        <f t="shared" si="91"/>
        <v>2</v>
      </c>
      <c r="H350" s="266">
        <f t="shared" si="92"/>
        <v>2</v>
      </c>
      <c r="I350" s="312">
        <f t="shared" si="93"/>
        <v>1.21916</v>
      </c>
      <c r="J350" s="312">
        <f t="shared" si="94"/>
        <v>1.3690800000000001</v>
      </c>
      <c r="K350" s="312">
        <f t="shared" si="95"/>
        <v>1.6878</v>
      </c>
      <c r="L350" s="204">
        <f t="shared" si="96"/>
        <v>13.691166800000001</v>
      </c>
      <c r="M350" s="204">
        <f t="shared" si="86"/>
        <v>15.374768400000001</v>
      </c>
      <c r="N350" s="204">
        <f t="shared" si="87"/>
        <v>18.953994000000002</v>
      </c>
    </row>
    <row r="351" spans="1:14" x14ac:dyDescent="0.25">
      <c r="A351" s="271">
        <v>5</v>
      </c>
      <c r="B351" s="272">
        <f t="shared" si="88"/>
        <v>75.294117647058826</v>
      </c>
      <c r="C351" s="273">
        <f t="shared" si="89"/>
        <v>75.294117647058826</v>
      </c>
      <c r="D351" s="273">
        <f t="shared" si="97"/>
        <v>75.294117647058826</v>
      </c>
      <c r="E351" s="273">
        <f t="shared" si="98"/>
        <v>75.294117647058826</v>
      </c>
      <c r="F351" s="266">
        <f t="shared" si="90"/>
        <v>6</v>
      </c>
      <c r="G351" s="266">
        <f t="shared" si="91"/>
        <v>2</v>
      </c>
      <c r="H351" s="266">
        <f t="shared" si="92"/>
        <v>2</v>
      </c>
      <c r="I351" s="312">
        <f t="shared" si="93"/>
        <v>1.21916</v>
      </c>
      <c r="J351" s="312">
        <f t="shared" si="94"/>
        <v>1.3690800000000001</v>
      </c>
      <c r="K351" s="312">
        <f t="shared" si="95"/>
        <v>1.6878</v>
      </c>
      <c r="L351" s="204">
        <f t="shared" si="96"/>
        <v>13.691166800000001</v>
      </c>
      <c r="M351" s="204">
        <f t="shared" si="86"/>
        <v>15.374768400000001</v>
      </c>
      <c r="N351" s="204">
        <f t="shared" si="87"/>
        <v>18.953994000000002</v>
      </c>
    </row>
    <row r="352" spans="1:14" x14ac:dyDescent="0.25">
      <c r="A352" s="271">
        <v>6</v>
      </c>
      <c r="B352" s="272">
        <f t="shared" si="88"/>
        <v>75.294117647058826</v>
      </c>
      <c r="C352" s="273">
        <f t="shared" si="89"/>
        <v>75.294117647058826</v>
      </c>
      <c r="D352" s="273">
        <f t="shared" si="97"/>
        <v>75.294117647058826</v>
      </c>
      <c r="E352" s="273">
        <f t="shared" si="98"/>
        <v>75.294117647058826</v>
      </c>
      <c r="F352" s="266">
        <f t="shared" si="90"/>
        <v>6</v>
      </c>
      <c r="G352" s="266">
        <f t="shared" si="91"/>
        <v>2</v>
      </c>
      <c r="H352" s="266">
        <f t="shared" si="92"/>
        <v>2</v>
      </c>
      <c r="I352" s="312">
        <f t="shared" si="93"/>
        <v>1.21916</v>
      </c>
      <c r="J352" s="312">
        <f t="shared" si="94"/>
        <v>1.3690800000000001</v>
      </c>
      <c r="K352" s="312">
        <f t="shared" si="95"/>
        <v>1.6878</v>
      </c>
      <c r="L352" s="204">
        <f t="shared" si="96"/>
        <v>13.691166800000001</v>
      </c>
      <c r="M352" s="204">
        <f t="shared" si="86"/>
        <v>15.374768400000001</v>
      </c>
      <c r="N352" s="204">
        <f t="shared" si="87"/>
        <v>18.953994000000002</v>
      </c>
    </row>
    <row r="353" spans="1:14" x14ac:dyDescent="0.25">
      <c r="A353" s="271">
        <v>7</v>
      </c>
      <c r="B353" s="272">
        <f t="shared" si="88"/>
        <v>75.294117647058826</v>
      </c>
      <c r="C353" s="273">
        <f t="shared" si="89"/>
        <v>75.294117647058826</v>
      </c>
      <c r="D353" s="273">
        <f t="shared" si="97"/>
        <v>75.294117647058826</v>
      </c>
      <c r="E353" s="273">
        <f t="shared" si="98"/>
        <v>75.294117647058826</v>
      </c>
      <c r="F353" s="266">
        <f t="shared" si="90"/>
        <v>6</v>
      </c>
      <c r="G353" s="266">
        <f t="shared" si="91"/>
        <v>2</v>
      </c>
      <c r="H353" s="266">
        <f t="shared" si="92"/>
        <v>2</v>
      </c>
      <c r="I353" s="312">
        <f t="shared" si="93"/>
        <v>1.21916</v>
      </c>
      <c r="J353" s="312">
        <f t="shared" si="94"/>
        <v>1.3690800000000001</v>
      </c>
      <c r="K353" s="312">
        <f t="shared" si="95"/>
        <v>1.6878</v>
      </c>
      <c r="L353" s="204">
        <f t="shared" si="96"/>
        <v>13.691166800000001</v>
      </c>
      <c r="M353" s="204">
        <f t="shared" si="86"/>
        <v>15.374768400000001</v>
      </c>
      <c r="N353" s="204">
        <f t="shared" si="87"/>
        <v>18.953994000000002</v>
      </c>
    </row>
    <row r="354" spans="1:14" x14ac:dyDescent="0.25">
      <c r="A354" s="271">
        <v>8</v>
      </c>
      <c r="B354" s="272">
        <f t="shared" si="88"/>
        <v>75.294117647058826</v>
      </c>
      <c r="C354" s="273">
        <f t="shared" si="89"/>
        <v>75.294117647058826</v>
      </c>
      <c r="D354" s="273">
        <f t="shared" si="97"/>
        <v>75.294117647058826</v>
      </c>
      <c r="E354" s="273">
        <f t="shared" si="98"/>
        <v>75.294117647058826</v>
      </c>
      <c r="F354" s="266">
        <f t="shared" si="90"/>
        <v>6</v>
      </c>
      <c r="G354" s="266">
        <f t="shared" si="91"/>
        <v>2</v>
      </c>
      <c r="H354" s="266">
        <f t="shared" si="92"/>
        <v>2</v>
      </c>
      <c r="I354" s="312">
        <f t="shared" si="93"/>
        <v>1.21916</v>
      </c>
      <c r="J354" s="312">
        <f t="shared" si="94"/>
        <v>1.3690800000000001</v>
      </c>
      <c r="K354" s="312">
        <f t="shared" si="95"/>
        <v>1.6878</v>
      </c>
      <c r="L354" s="204">
        <f t="shared" si="96"/>
        <v>13.691166800000001</v>
      </c>
      <c r="M354" s="204">
        <f t="shared" si="86"/>
        <v>15.374768400000001</v>
      </c>
      <c r="N354" s="204">
        <f t="shared" si="87"/>
        <v>18.953994000000002</v>
      </c>
    </row>
    <row r="355" spans="1:14" x14ac:dyDescent="0.25">
      <c r="A355" s="271">
        <v>9</v>
      </c>
      <c r="B355" s="272">
        <f t="shared" si="88"/>
        <v>75.294117647058826</v>
      </c>
      <c r="C355" s="273">
        <f t="shared" si="89"/>
        <v>75.294117647058826</v>
      </c>
      <c r="D355" s="273">
        <f t="shared" si="97"/>
        <v>75.294117647058826</v>
      </c>
      <c r="E355" s="273">
        <f t="shared" si="98"/>
        <v>75.294117647058826</v>
      </c>
      <c r="F355" s="266">
        <f t="shared" si="90"/>
        <v>6</v>
      </c>
      <c r="G355" s="266">
        <f t="shared" si="91"/>
        <v>2</v>
      </c>
      <c r="H355" s="266">
        <f t="shared" si="92"/>
        <v>2</v>
      </c>
      <c r="I355" s="312">
        <f t="shared" si="93"/>
        <v>1.21916</v>
      </c>
      <c r="J355" s="312">
        <f t="shared" si="94"/>
        <v>1.3690800000000001</v>
      </c>
      <c r="K355" s="312">
        <f t="shared" si="95"/>
        <v>1.6878</v>
      </c>
      <c r="L355" s="204">
        <f t="shared" si="96"/>
        <v>13.691166800000001</v>
      </c>
      <c r="M355" s="204">
        <f t="shared" si="86"/>
        <v>15.374768400000001</v>
      </c>
      <c r="N355" s="204">
        <f t="shared" si="87"/>
        <v>18.953994000000002</v>
      </c>
    </row>
    <row r="356" spans="1:14" x14ac:dyDescent="0.25">
      <c r="A356" s="271">
        <v>10</v>
      </c>
      <c r="B356" s="272">
        <f t="shared" si="88"/>
        <v>75.294117647058826</v>
      </c>
      <c r="C356" s="273">
        <f t="shared" si="89"/>
        <v>75.294117647058826</v>
      </c>
      <c r="D356" s="273">
        <f t="shared" si="97"/>
        <v>75.294117647058826</v>
      </c>
      <c r="E356" s="273">
        <f t="shared" si="98"/>
        <v>75.294117647058826</v>
      </c>
      <c r="F356" s="266">
        <f t="shared" si="90"/>
        <v>6</v>
      </c>
      <c r="G356" s="266">
        <f t="shared" si="91"/>
        <v>2</v>
      </c>
      <c r="H356" s="266">
        <f t="shared" si="92"/>
        <v>2</v>
      </c>
      <c r="I356" s="312">
        <f t="shared" si="93"/>
        <v>1.21916</v>
      </c>
      <c r="J356" s="312">
        <f t="shared" si="94"/>
        <v>1.3690800000000001</v>
      </c>
      <c r="K356" s="312">
        <f t="shared" si="95"/>
        <v>1.6878</v>
      </c>
      <c r="L356" s="204">
        <f t="shared" si="96"/>
        <v>13.691166800000001</v>
      </c>
      <c r="M356" s="204">
        <f t="shared" si="86"/>
        <v>15.374768400000001</v>
      </c>
      <c r="N356" s="204">
        <f t="shared" si="87"/>
        <v>18.953994000000002</v>
      </c>
    </row>
    <row r="357" spans="1:14" x14ac:dyDescent="0.25">
      <c r="A357" s="271">
        <v>11</v>
      </c>
      <c r="B357" s="272">
        <f t="shared" si="88"/>
        <v>75.294117647058826</v>
      </c>
      <c r="C357" s="273">
        <f t="shared" si="89"/>
        <v>75.294117647058826</v>
      </c>
      <c r="D357" s="273">
        <f t="shared" si="97"/>
        <v>75.294117647058826</v>
      </c>
      <c r="E357" s="273">
        <f t="shared" si="98"/>
        <v>75.294117647058826</v>
      </c>
      <c r="F357" s="266">
        <f t="shared" si="90"/>
        <v>6</v>
      </c>
      <c r="G357" s="266">
        <f t="shared" si="91"/>
        <v>2</v>
      </c>
      <c r="H357" s="266">
        <f t="shared" si="92"/>
        <v>2</v>
      </c>
      <c r="I357" s="312">
        <f t="shared" si="93"/>
        <v>1.21916</v>
      </c>
      <c r="J357" s="312">
        <f t="shared" si="94"/>
        <v>1.3690800000000001</v>
      </c>
      <c r="K357" s="312">
        <f t="shared" si="95"/>
        <v>1.6878</v>
      </c>
      <c r="L357" s="204">
        <f t="shared" si="96"/>
        <v>13.691166800000001</v>
      </c>
      <c r="M357" s="204">
        <f t="shared" si="86"/>
        <v>15.374768400000001</v>
      </c>
      <c r="N357" s="204">
        <f t="shared" si="87"/>
        <v>18.953994000000002</v>
      </c>
    </row>
    <row r="358" spans="1:14" x14ac:dyDescent="0.25">
      <c r="A358" s="271">
        <v>12</v>
      </c>
      <c r="B358" s="272">
        <f t="shared" si="88"/>
        <v>67.764705882352942</v>
      </c>
      <c r="C358" s="273">
        <f t="shared" si="89"/>
        <v>67.764705882352942</v>
      </c>
      <c r="D358" s="273">
        <f t="shared" si="97"/>
        <v>67.764705882352942</v>
      </c>
      <c r="E358" s="273">
        <f t="shared" si="98"/>
        <v>67.764705882352942</v>
      </c>
      <c r="F358" s="266">
        <f t="shared" si="90"/>
        <v>8</v>
      </c>
      <c r="G358" s="266">
        <f t="shared" si="91"/>
        <v>2</v>
      </c>
      <c r="H358" s="266">
        <f t="shared" si="92"/>
        <v>2</v>
      </c>
      <c r="I358" s="312">
        <f t="shared" si="93"/>
        <v>1.27512</v>
      </c>
      <c r="J358" s="312">
        <f t="shared" si="94"/>
        <v>1.3690800000000001</v>
      </c>
      <c r="K358" s="312">
        <f t="shared" si="95"/>
        <v>1.6878</v>
      </c>
      <c r="L358" s="204">
        <f t="shared" si="96"/>
        <v>14.319597600000002</v>
      </c>
      <c r="M358" s="204">
        <f t="shared" si="86"/>
        <v>15.374768400000001</v>
      </c>
      <c r="N358" s="204">
        <f t="shared" si="87"/>
        <v>18.953994000000002</v>
      </c>
    </row>
    <row r="359" spans="1:14" x14ac:dyDescent="0.25">
      <c r="A359" s="271">
        <v>13</v>
      </c>
      <c r="B359" s="272">
        <f t="shared" si="88"/>
        <v>67.764705882352942</v>
      </c>
      <c r="C359" s="273">
        <f t="shared" si="89"/>
        <v>67.764705882352942</v>
      </c>
      <c r="D359" s="273">
        <f t="shared" si="97"/>
        <v>67.764705882352942</v>
      </c>
      <c r="E359" s="273">
        <f t="shared" si="98"/>
        <v>67.764705882352942</v>
      </c>
      <c r="F359" s="266">
        <f t="shared" si="90"/>
        <v>8</v>
      </c>
      <c r="G359" s="266">
        <f t="shared" si="91"/>
        <v>2</v>
      </c>
      <c r="H359" s="266">
        <f t="shared" si="92"/>
        <v>2</v>
      </c>
      <c r="I359" s="312">
        <f t="shared" si="93"/>
        <v>1.27512</v>
      </c>
      <c r="J359" s="312">
        <f t="shared" si="94"/>
        <v>1.3690800000000001</v>
      </c>
      <c r="K359" s="312">
        <f t="shared" si="95"/>
        <v>1.6878</v>
      </c>
      <c r="L359" s="204">
        <f t="shared" si="96"/>
        <v>14.319597600000002</v>
      </c>
      <c r="M359" s="204">
        <f t="shared" si="86"/>
        <v>15.374768400000001</v>
      </c>
      <c r="N359" s="204">
        <f t="shared" si="87"/>
        <v>18.953994000000002</v>
      </c>
    </row>
    <row r="360" spans="1:14" x14ac:dyDescent="0.25">
      <c r="A360" s="271">
        <v>14</v>
      </c>
      <c r="B360" s="272">
        <f t="shared" si="88"/>
        <v>67.764705882352942</v>
      </c>
      <c r="C360" s="273">
        <f t="shared" si="89"/>
        <v>67.764705882352942</v>
      </c>
      <c r="D360" s="273">
        <f t="shared" si="97"/>
        <v>67.764705882352942</v>
      </c>
      <c r="E360" s="273">
        <f t="shared" si="98"/>
        <v>67.764705882352942</v>
      </c>
      <c r="F360" s="266">
        <f t="shared" si="90"/>
        <v>8</v>
      </c>
      <c r="G360" s="266">
        <f t="shared" si="91"/>
        <v>2</v>
      </c>
      <c r="H360" s="266">
        <f t="shared" si="92"/>
        <v>2</v>
      </c>
      <c r="I360" s="312">
        <f t="shared" si="93"/>
        <v>1.27512</v>
      </c>
      <c r="J360" s="312">
        <f t="shared" si="94"/>
        <v>1.3690800000000001</v>
      </c>
      <c r="K360" s="312">
        <f t="shared" si="95"/>
        <v>1.6878</v>
      </c>
      <c r="L360" s="204">
        <f t="shared" si="96"/>
        <v>14.319597600000002</v>
      </c>
      <c r="M360" s="204">
        <f t="shared" si="86"/>
        <v>15.374768400000001</v>
      </c>
      <c r="N360" s="204">
        <f t="shared" si="87"/>
        <v>18.953994000000002</v>
      </c>
    </row>
    <row r="361" spans="1:14" x14ac:dyDescent="0.25">
      <c r="A361" s="271">
        <v>15</v>
      </c>
      <c r="B361" s="272">
        <f t="shared" si="88"/>
        <v>67.764705882352942</v>
      </c>
      <c r="C361" s="273">
        <f t="shared" si="89"/>
        <v>67.764705882352942</v>
      </c>
      <c r="D361" s="273">
        <f t="shared" si="97"/>
        <v>67.764705882352942</v>
      </c>
      <c r="E361" s="273">
        <f t="shared" si="98"/>
        <v>67.764705882352942</v>
      </c>
      <c r="F361" s="266">
        <f t="shared" si="90"/>
        <v>8</v>
      </c>
      <c r="G361" s="266">
        <f t="shared" si="91"/>
        <v>2</v>
      </c>
      <c r="H361" s="266">
        <f t="shared" si="92"/>
        <v>2</v>
      </c>
      <c r="I361" s="312">
        <f t="shared" si="93"/>
        <v>1.27512</v>
      </c>
      <c r="J361" s="312">
        <f t="shared" si="94"/>
        <v>1.3690800000000001</v>
      </c>
      <c r="K361" s="312">
        <f t="shared" si="95"/>
        <v>1.6878</v>
      </c>
      <c r="L361" s="204">
        <f t="shared" si="96"/>
        <v>14.319597600000002</v>
      </c>
      <c r="M361" s="204">
        <f t="shared" si="86"/>
        <v>15.374768400000001</v>
      </c>
      <c r="N361" s="204">
        <f t="shared" si="87"/>
        <v>18.953994000000002</v>
      </c>
    </row>
    <row r="362" spans="1:14" x14ac:dyDescent="0.25">
      <c r="A362" s="271">
        <v>16</v>
      </c>
      <c r="B362" s="272">
        <f t="shared" si="88"/>
        <v>67.764705882352942</v>
      </c>
      <c r="C362" s="273">
        <f t="shared" si="89"/>
        <v>67.764705882352942</v>
      </c>
      <c r="D362" s="273">
        <f t="shared" si="97"/>
        <v>67.764705882352942</v>
      </c>
      <c r="E362" s="273">
        <f t="shared" si="98"/>
        <v>67.764705882352942</v>
      </c>
      <c r="F362" s="266">
        <f t="shared" si="90"/>
        <v>8</v>
      </c>
      <c r="G362" s="266">
        <f t="shared" si="91"/>
        <v>2</v>
      </c>
      <c r="H362" s="266">
        <f t="shared" si="92"/>
        <v>2</v>
      </c>
      <c r="I362" s="312">
        <f t="shared" si="93"/>
        <v>1.27512</v>
      </c>
      <c r="J362" s="312">
        <f t="shared" si="94"/>
        <v>1.3690800000000001</v>
      </c>
      <c r="K362" s="312">
        <f t="shared" si="95"/>
        <v>1.6878</v>
      </c>
      <c r="L362" s="204">
        <f t="shared" si="96"/>
        <v>14.319597600000002</v>
      </c>
      <c r="M362" s="204">
        <f t="shared" si="86"/>
        <v>15.374768400000001</v>
      </c>
      <c r="N362" s="204">
        <f t="shared" si="87"/>
        <v>18.953994000000002</v>
      </c>
    </row>
    <row r="363" spans="1:14" x14ac:dyDescent="0.25">
      <c r="A363" s="271">
        <v>17</v>
      </c>
      <c r="B363" s="272">
        <f t="shared" si="88"/>
        <v>67.764705882352942</v>
      </c>
      <c r="C363" s="273">
        <f t="shared" si="89"/>
        <v>67.764705882352942</v>
      </c>
      <c r="D363" s="273">
        <f t="shared" si="97"/>
        <v>67.764705882352942</v>
      </c>
      <c r="E363" s="273">
        <f t="shared" si="98"/>
        <v>67.764705882352942</v>
      </c>
      <c r="F363" s="266">
        <f t="shared" si="90"/>
        <v>8</v>
      </c>
      <c r="G363" s="266">
        <f t="shared" si="91"/>
        <v>2</v>
      </c>
      <c r="H363" s="266">
        <f t="shared" si="92"/>
        <v>2</v>
      </c>
      <c r="I363" s="312">
        <f t="shared" si="93"/>
        <v>1.27512</v>
      </c>
      <c r="J363" s="312">
        <f t="shared" si="94"/>
        <v>1.3690800000000001</v>
      </c>
      <c r="K363" s="312">
        <f t="shared" si="95"/>
        <v>1.6878</v>
      </c>
      <c r="L363" s="204">
        <f t="shared" si="96"/>
        <v>14.319597600000002</v>
      </c>
      <c r="M363" s="204">
        <f t="shared" si="86"/>
        <v>15.374768400000001</v>
      </c>
      <c r="N363" s="204">
        <f t="shared" si="87"/>
        <v>18.953994000000002</v>
      </c>
    </row>
    <row r="364" spans="1:14" x14ac:dyDescent="0.25">
      <c r="A364" s="271">
        <v>18</v>
      </c>
      <c r="B364" s="272">
        <f t="shared" si="88"/>
        <v>67.764705882352942</v>
      </c>
      <c r="C364" s="273">
        <f t="shared" si="89"/>
        <v>67.764705882352942</v>
      </c>
      <c r="D364" s="273">
        <f t="shared" si="97"/>
        <v>67.764705882352942</v>
      </c>
      <c r="E364" s="273">
        <f t="shared" si="98"/>
        <v>67.764705882352942</v>
      </c>
      <c r="F364" s="266">
        <f t="shared" si="90"/>
        <v>8</v>
      </c>
      <c r="G364" s="266">
        <f t="shared" si="91"/>
        <v>2</v>
      </c>
      <c r="H364" s="266">
        <f t="shared" si="92"/>
        <v>2</v>
      </c>
      <c r="I364" s="312">
        <f t="shared" si="93"/>
        <v>1.27512</v>
      </c>
      <c r="J364" s="312">
        <f t="shared" si="94"/>
        <v>1.3690800000000001</v>
      </c>
      <c r="K364" s="312">
        <f t="shared" si="95"/>
        <v>1.6878</v>
      </c>
      <c r="L364" s="204">
        <f t="shared" si="96"/>
        <v>14.319597600000002</v>
      </c>
      <c r="M364" s="204">
        <f t="shared" si="86"/>
        <v>15.374768400000001</v>
      </c>
      <c r="N364" s="204">
        <f t="shared" si="87"/>
        <v>18.953994000000002</v>
      </c>
    </row>
    <row r="365" spans="1:14" x14ac:dyDescent="0.25">
      <c r="A365" s="271">
        <v>19</v>
      </c>
      <c r="B365" s="272">
        <f t="shared" si="88"/>
        <v>67.764705882352942</v>
      </c>
      <c r="C365" s="273">
        <f t="shared" si="89"/>
        <v>67.764705882352942</v>
      </c>
      <c r="D365" s="273">
        <f t="shared" si="97"/>
        <v>67.764705882352942</v>
      </c>
      <c r="E365" s="273">
        <f t="shared" si="98"/>
        <v>67.764705882352942</v>
      </c>
      <c r="F365" s="266">
        <f t="shared" si="90"/>
        <v>8</v>
      </c>
      <c r="G365" s="266">
        <f t="shared" si="91"/>
        <v>2</v>
      </c>
      <c r="H365" s="266">
        <f t="shared" si="92"/>
        <v>2</v>
      </c>
      <c r="I365" s="312">
        <f t="shared" si="93"/>
        <v>1.27512</v>
      </c>
      <c r="J365" s="312">
        <f t="shared" si="94"/>
        <v>1.3690800000000001</v>
      </c>
      <c r="K365" s="312">
        <f t="shared" si="95"/>
        <v>1.6878</v>
      </c>
      <c r="L365" s="204">
        <f t="shared" si="96"/>
        <v>14.319597600000002</v>
      </c>
      <c r="M365" s="204">
        <f t="shared" si="86"/>
        <v>15.374768400000001</v>
      </c>
      <c r="N365" s="204">
        <f t="shared" si="87"/>
        <v>18.953994000000002</v>
      </c>
    </row>
    <row r="366" spans="1:14" x14ac:dyDescent="0.25">
      <c r="A366" s="271">
        <v>20</v>
      </c>
      <c r="B366" s="272">
        <f t="shared" si="88"/>
        <v>67.764705882352942</v>
      </c>
      <c r="C366" s="273">
        <f t="shared" si="89"/>
        <v>67.764705882352942</v>
      </c>
      <c r="D366" s="273">
        <f t="shared" si="97"/>
        <v>67.764705882352942</v>
      </c>
      <c r="E366" s="273">
        <f t="shared" si="98"/>
        <v>67.764705882352942</v>
      </c>
      <c r="F366" s="266">
        <f t="shared" si="90"/>
        <v>8</v>
      </c>
      <c r="G366" s="266">
        <f t="shared" si="91"/>
        <v>2</v>
      </c>
      <c r="H366" s="266">
        <f t="shared" si="92"/>
        <v>2</v>
      </c>
      <c r="I366" s="312">
        <f t="shared" si="93"/>
        <v>1.27512</v>
      </c>
      <c r="J366" s="312">
        <f t="shared" si="94"/>
        <v>1.3690800000000001</v>
      </c>
      <c r="K366" s="312">
        <f t="shared" si="95"/>
        <v>1.6878</v>
      </c>
      <c r="L366" s="204">
        <f t="shared" si="96"/>
        <v>14.319597600000002</v>
      </c>
      <c r="M366" s="204">
        <f t="shared" si="86"/>
        <v>15.374768400000001</v>
      </c>
      <c r="N366" s="204">
        <f t="shared" si="87"/>
        <v>18.953994000000002</v>
      </c>
    </row>
    <row r="367" spans="1:14" x14ac:dyDescent="0.25">
      <c r="A367" s="271">
        <v>21</v>
      </c>
      <c r="B367" s="272">
        <f t="shared" si="88"/>
        <v>67.764705882352942</v>
      </c>
      <c r="C367" s="273">
        <f t="shared" si="89"/>
        <v>67.764705882352942</v>
      </c>
      <c r="D367" s="273">
        <f t="shared" si="97"/>
        <v>67.764705882352942</v>
      </c>
      <c r="E367" s="273">
        <f t="shared" si="98"/>
        <v>67.764705882352942</v>
      </c>
      <c r="F367" s="266">
        <f t="shared" si="90"/>
        <v>8</v>
      </c>
      <c r="G367" s="266">
        <f t="shared" si="91"/>
        <v>2</v>
      </c>
      <c r="H367" s="266">
        <f t="shared" si="92"/>
        <v>2</v>
      </c>
      <c r="I367" s="312">
        <f t="shared" si="93"/>
        <v>1.27512</v>
      </c>
      <c r="J367" s="312">
        <f t="shared" si="94"/>
        <v>1.3690800000000001</v>
      </c>
      <c r="K367" s="312">
        <f t="shared" si="95"/>
        <v>1.6878</v>
      </c>
      <c r="L367" s="204">
        <f t="shared" si="96"/>
        <v>14.319597600000002</v>
      </c>
      <c r="M367" s="204">
        <f t="shared" si="86"/>
        <v>15.374768400000001</v>
      </c>
      <c r="N367" s="204">
        <f t="shared" si="87"/>
        <v>18.953994000000002</v>
      </c>
    </row>
    <row r="368" spans="1:14" x14ac:dyDescent="0.25">
      <c r="A368" s="271">
        <v>22</v>
      </c>
      <c r="B368" s="272">
        <f t="shared" si="88"/>
        <v>67.764705882352942</v>
      </c>
      <c r="C368" s="273">
        <f t="shared" si="89"/>
        <v>67.764705882352942</v>
      </c>
      <c r="D368" s="273">
        <f t="shared" si="97"/>
        <v>67.764705882352942</v>
      </c>
      <c r="E368" s="273">
        <f t="shared" si="98"/>
        <v>67.764705882352942</v>
      </c>
      <c r="F368" s="266">
        <f t="shared" si="90"/>
        <v>8</v>
      </c>
      <c r="G368" s="266">
        <f t="shared" si="91"/>
        <v>2</v>
      </c>
      <c r="H368" s="266">
        <f t="shared" si="92"/>
        <v>2</v>
      </c>
      <c r="I368" s="312">
        <f t="shared" si="93"/>
        <v>1.27512</v>
      </c>
      <c r="J368" s="312">
        <f t="shared" si="94"/>
        <v>1.3690800000000001</v>
      </c>
      <c r="K368" s="312">
        <f t="shared" si="95"/>
        <v>1.6878</v>
      </c>
      <c r="L368" s="204">
        <f t="shared" si="96"/>
        <v>14.319597600000002</v>
      </c>
      <c r="M368" s="204">
        <f t="shared" si="86"/>
        <v>15.374768400000001</v>
      </c>
      <c r="N368" s="204">
        <f t="shared" si="87"/>
        <v>18.953994000000002</v>
      </c>
    </row>
    <row r="369" spans="1:15" x14ac:dyDescent="0.25">
      <c r="A369" s="271">
        <v>23</v>
      </c>
      <c r="B369" s="272">
        <f t="shared" si="88"/>
        <v>67.764705882352942</v>
      </c>
      <c r="C369" s="273">
        <f t="shared" si="89"/>
        <v>67.764705882352942</v>
      </c>
      <c r="D369" s="273">
        <f t="shared" si="97"/>
        <v>67.764705882352942</v>
      </c>
      <c r="E369" s="273">
        <f t="shared" si="98"/>
        <v>67.764705882352942</v>
      </c>
      <c r="F369" s="266">
        <f t="shared" si="90"/>
        <v>8</v>
      </c>
      <c r="G369" s="266">
        <f t="shared" si="91"/>
        <v>2</v>
      </c>
      <c r="H369" s="266">
        <f t="shared" si="92"/>
        <v>2</v>
      </c>
      <c r="I369" s="312">
        <f t="shared" si="93"/>
        <v>1.27512</v>
      </c>
      <c r="J369" s="312">
        <f t="shared" si="94"/>
        <v>1.3690800000000001</v>
      </c>
      <c r="K369" s="312">
        <f t="shared" si="95"/>
        <v>1.6878</v>
      </c>
      <c r="L369" s="204">
        <f t="shared" si="96"/>
        <v>14.319597600000002</v>
      </c>
      <c r="M369" s="204">
        <f t="shared" si="86"/>
        <v>15.374768400000001</v>
      </c>
      <c r="N369" s="204">
        <f t="shared" si="87"/>
        <v>18.953994000000002</v>
      </c>
    </row>
    <row r="370" spans="1:15" x14ac:dyDescent="0.25">
      <c r="A370" s="271">
        <v>24</v>
      </c>
      <c r="B370" s="272">
        <f t="shared" si="88"/>
        <v>67.764705882352942</v>
      </c>
      <c r="C370" s="273">
        <f t="shared" si="89"/>
        <v>67.764705882352942</v>
      </c>
      <c r="D370" s="273">
        <f t="shared" si="97"/>
        <v>67.764705882352942</v>
      </c>
      <c r="E370" s="273">
        <f t="shared" si="98"/>
        <v>67.764705882352942</v>
      </c>
      <c r="F370" s="266">
        <f t="shared" si="90"/>
        <v>8</v>
      </c>
      <c r="G370" s="266">
        <f t="shared" si="91"/>
        <v>2</v>
      </c>
      <c r="H370" s="266">
        <f t="shared" si="92"/>
        <v>2</v>
      </c>
      <c r="I370" s="312">
        <f t="shared" si="93"/>
        <v>1.27512</v>
      </c>
      <c r="J370" s="312">
        <f t="shared" si="94"/>
        <v>1.3690800000000001</v>
      </c>
      <c r="K370" s="312">
        <f t="shared" si="95"/>
        <v>1.6878</v>
      </c>
      <c r="L370" s="204">
        <f t="shared" si="96"/>
        <v>14.319597600000002</v>
      </c>
      <c r="M370" s="204">
        <f t="shared" si="86"/>
        <v>15.374768400000001</v>
      </c>
      <c r="N370" s="204">
        <f t="shared" si="87"/>
        <v>18.953994000000002</v>
      </c>
    </row>
    <row r="371" spans="1:15" x14ac:dyDescent="0.25">
      <c r="A371" s="271">
        <v>25</v>
      </c>
      <c r="B371" s="272">
        <f t="shared" si="88"/>
        <v>67.764705882352942</v>
      </c>
      <c r="C371" s="273">
        <f t="shared" si="89"/>
        <v>67.764705882352942</v>
      </c>
      <c r="D371" s="273">
        <f t="shared" si="97"/>
        <v>67.764705882352942</v>
      </c>
      <c r="E371" s="273">
        <f t="shared" si="98"/>
        <v>67.764705882352942</v>
      </c>
      <c r="F371" s="266">
        <f t="shared" si="90"/>
        <v>8</v>
      </c>
      <c r="G371" s="266">
        <f t="shared" si="91"/>
        <v>2</v>
      </c>
      <c r="H371" s="266">
        <f t="shared" si="92"/>
        <v>2</v>
      </c>
      <c r="I371" s="312">
        <f t="shared" si="93"/>
        <v>1.27512</v>
      </c>
      <c r="J371" s="312">
        <f t="shared" si="94"/>
        <v>1.3690800000000001</v>
      </c>
      <c r="K371" s="312">
        <f t="shared" si="95"/>
        <v>1.6878</v>
      </c>
      <c r="L371" s="204">
        <f t="shared" si="96"/>
        <v>14.319597600000002</v>
      </c>
      <c r="M371" s="204">
        <f t="shared" si="86"/>
        <v>15.374768400000001</v>
      </c>
      <c r="N371" s="204">
        <f t="shared" si="87"/>
        <v>18.953994000000002</v>
      </c>
    </row>
    <row r="372" spans="1:15" x14ac:dyDescent="0.25">
      <c r="A372" s="271">
        <v>26</v>
      </c>
      <c r="B372" s="272">
        <f t="shared" si="88"/>
        <v>67.764705882352942</v>
      </c>
      <c r="C372" s="273">
        <f t="shared" si="89"/>
        <v>67.764705882352942</v>
      </c>
      <c r="D372" s="273">
        <f t="shared" si="97"/>
        <v>67.764705882352942</v>
      </c>
      <c r="E372" s="273">
        <f t="shared" si="98"/>
        <v>67.764705882352942</v>
      </c>
      <c r="F372" s="266">
        <f t="shared" si="90"/>
        <v>8</v>
      </c>
      <c r="G372" s="266">
        <f t="shared" si="91"/>
        <v>2</v>
      </c>
      <c r="H372" s="266">
        <f t="shared" si="92"/>
        <v>2</v>
      </c>
      <c r="I372" s="312">
        <f t="shared" si="93"/>
        <v>1.27512</v>
      </c>
      <c r="J372" s="312">
        <f t="shared" si="94"/>
        <v>1.3690800000000001</v>
      </c>
      <c r="K372" s="312">
        <f t="shared" si="95"/>
        <v>1.6878</v>
      </c>
      <c r="L372" s="204">
        <f t="shared" si="96"/>
        <v>14.319597600000002</v>
      </c>
      <c r="M372" s="204">
        <f t="shared" si="86"/>
        <v>15.374768400000001</v>
      </c>
      <c r="N372" s="204">
        <f t="shared" si="87"/>
        <v>18.953994000000002</v>
      </c>
    </row>
    <row r="373" spans="1:15" x14ac:dyDescent="0.25">
      <c r="A373" s="271">
        <v>27</v>
      </c>
      <c r="B373" s="272">
        <f t="shared" si="88"/>
        <v>67.764705882352942</v>
      </c>
      <c r="C373" s="273">
        <f t="shared" si="89"/>
        <v>67.764705882352942</v>
      </c>
      <c r="D373" s="273">
        <f t="shared" si="97"/>
        <v>67.764705882352942</v>
      </c>
      <c r="E373" s="273">
        <f t="shared" si="98"/>
        <v>67.764705882352942</v>
      </c>
      <c r="F373" s="266">
        <f t="shared" si="90"/>
        <v>8</v>
      </c>
      <c r="G373" s="266">
        <f t="shared" si="91"/>
        <v>2</v>
      </c>
      <c r="H373" s="266">
        <f t="shared" si="92"/>
        <v>2</v>
      </c>
      <c r="I373" s="312">
        <f t="shared" si="93"/>
        <v>1.27512</v>
      </c>
      <c r="J373" s="312">
        <f t="shared" si="94"/>
        <v>1.3690800000000001</v>
      </c>
      <c r="K373" s="312">
        <f t="shared" si="95"/>
        <v>1.6878</v>
      </c>
      <c r="L373" s="204">
        <f t="shared" si="96"/>
        <v>14.319597600000002</v>
      </c>
      <c r="M373" s="204">
        <f t="shared" si="86"/>
        <v>15.374768400000001</v>
      </c>
      <c r="N373" s="204">
        <f t="shared" si="87"/>
        <v>18.953994000000002</v>
      </c>
    </row>
    <row r="374" spans="1:15" x14ac:dyDescent="0.25">
      <c r="A374" s="271">
        <v>28</v>
      </c>
      <c r="B374" s="272">
        <f t="shared" si="88"/>
        <v>67.764705882352942</v>
      </c>
      <c r="C374" s="273">
        <f t="shared" si="89"/>
        <v>67.764705882352942</v>
      </c>
      <c r="D374" s="273">
        <f t="shared" si="97"/>
        <v>67.764705882352942</v>
      </c>
      <c r="E374" s="273">
        <f t="shared" si="98"/>
        <v>67.764705882352942</v>
      </c>
      <c r="F374" s="266">
        <f t="shared" si="90"/>
        <v>8</v>
      </c>
      <c r="G374" s="266">
        <f t="shared" si="91"/>
        <v>2</v>
      </c>
      <c r="H374" s="266">
        <f t="shared" si="92"/>
        <v>2</v>
      </c>
      <c r="I374" s="312">
        <f t="shared" si="93"/>
        <v>1.27512</v>
      </c>
      <c r="J374" s="312">
        <f t="shared" si="94"/>
        <v>1.3690800000000001</v>
      </c>
      <c r="K374" s="312">
        <f t="shared" si="95"/>
        <v>1.6878</v>
      </c>
      <c r="L374" s="204">
        <f t="shared" si="96"/>
        <v>14.319597600000002</v>
      </c>
      <c r="M374" s="204">
        <f t="shared" si="86"/>
        <v>15.374768400000001</v>
      </c>
      <c r="N374" s="204">
        <f t="shared" si="87"/>
        <v>18.953994000000002</v>
      </c>
    </row>
    <row r="375" spans="1:15" x14ac:dyDescent="0.25">
      <c r="A375" s="271">
        <v>29</v>
      </c>
      <c r="B375" s="272">
        <f t="shared" si="88"/>
        <v>67.764705882352942</v>
      </c>
      <c r="C375" s="273">
        <f t="shared" si="89"/>
        <v>67.764705882352942</v>
      </c>
      <c r="D375" s="273">
        <f t="shared" si="97"/>
        <v>67.764705882352942</v>
      </c>
      <c r="E375" s="273">
        <f t="shared" si="98"/>
        <v>67.764705882352942</v>
      </c>
      <c r="F375" s="266">
        <f t="shared" si="90"/>
        <v>8</v>
      </c>
      <c r="G375" s="266">
        <f t="shared" si="91"/>
        <v>2</v>
      </c>
      <c r="H375" s="266">
        <f t="shared" si="92"/>
        <v>2</v>
      </c>
      <c r="I375" s="312">
        <f t="shared" si="93"/>
        <v>1.27512</v>
      </c>
      <c r="J375" s="312">
        <f t="shared" si="94"/>
        <v>1.3690800000000001</v>
      </c>
      <c r="K375" s="312">
        <f t="shared" si="95"/>
        <v>1.6878</v>
      </c>
      <c r="L375" s="204">
        <f t="shared" si="96"/>
        <v>14.319597600000002</v>
      </c>
      <c r="M375" s="204">
        <f t="shared" si="86"/>
        <v>15.374768400000001</v>
      </c>
      <c r="N375" s="204">
        <f t="shared" si="87"/>
        <v>18.953994000000002</v>
      </c>
    </row>
    <row r="376" spans="1:15" x14ac:dyDescent="0.25">
      <c r="A376" s="271">
        <v>30</v>
      </c>
      <c r="B376" s="272">
        <f t="shared" si="88"/>
        <v>67.764705882352942</v>
      </c>
      <c r="C376" s="273">
        <f t="shared" si="89"/>
        <v>67.764705882352942</v>
      </c>
      <c r="D376" s="273">
        <f t="shared" si="97"/>
        <v>67.764705882352942</v>
      </c>
      <c r="E376" s="273">
        <f t="shared" si="98"/>
        <v>67.764705882352942</v>
      </c>
      <c r="F376" s="266">
        <f t="shared" si="90"/>
        <v>8</v>
      </c>
      <c r="G376" s="266">
        <f t="shared" si="91"/>
        <v>2</v>
      </c>
      <c r="H376" s="266">
        <f t="shared" si="92"/>
        <v>2</v>
      </c>
      <c r="I376" s="312">
        <f t="shared" si="93"/>
        <v>1.27512</v>
      </c>
      <c r="J376" s="312">
        <f t="shared" si="94"/>
        <v>1.3690800000000001</v>
      </c>
      <c r="K376" s="312">
        <f t="shared" si="95"/>
        <v>1.6878</v>
      </c>
      <c r="L376" s="204">
        <f t="shared" si="96"/>
        <v>14.319597600000002</v>
      </c>
      <c r="M376" s="204">
        <f t="shared" si="86"/>
        <v>15.374768400000001</v>
      </c>
      <c r="N376" s="204">
        <f t="shared" si="87"/>
        <v>18.953994000000002</v>
      </c>
    </row>
    <row r="377" spans="1:15" x14ac:dyDescent="0.25">
      <c r="A377" s="271">
        <v>31</v>
      </c>
      <c r="B377" s="272">
        <f t="shared" si="88"/>
        <v>67.764705882352942</v>
      </c>
      <c r="C377" s="273">
        <f t="shared" si="89"/>
        <v>67.764705882352942</v>
      </c>
      <c r="D377" s="273">
        <f>C377</f>
        <v>67.764705882352942</v>
      </c>
      <c r="E377" s="273">
        <f>D377</f>
        <v>67.764705882352942</v>
      </c>
      <c r="F377" s="266">
        <f t="shared" si="90"/>
        <v>8</v>
      </c>
      <c r="G377" s="266">
        <f t="shared" si="91"/>
        <v>2</v>
      </c>
      <c r="H377" s="266">
        <f t="shared" si="92"/>
        <v>2</v>
      </c>
      <c r="I377" s="312">
        <f>0.000135*(F377)^3-0.002*(F377)^2+0.036*(F377)+1.046</f>
        <v>1.27512</v>
      </c>
      <c r="J377" s="312">
        <f>0.000135*(G377)^3-0.002*(G377)^2+0.04*(G377)+1.296</f>
        <v>1.3690800000000001</v>
      </c>
      <c r="K377" s="312">
        <f>0.00095*(H377)^2+0.022*(H377)+1.64</f>
        <v>1.6878</v>
      </c>
      <c r="L377" s="204">
        <f t="shared" ref="L377:N378" si="99">$B$265*I377</f>
        <v>14.319597600000002</v>
      </c>
      <c r="M377" s="204">
        <f t="shared" si="99"/>
        <v>15.374768400000001</v>
      </c>
      <c r="N377" s="204">
        <f t="shared" si="99"/>
        <v>18.953994000000002</v>
      </c>
    </row>
    <row r="378" spans="1:15" x14ac:dyDescent="0.25">
      <c r="A378" s="271">
        <v>32</v>
      </c>
      <c r="B378" s="272">
        <f t="shared" si="88"/>
        <v>67.764705882352942</v>
      </c>
      <c r="C378" s="273">
        <f t="shared" si="89"/>
        <v>67.764705882352942</v>
      </c>
      <c r="D378" s="273">
        <f>C378</f>
        <v>67.764705882352942</v>
      </c>
      <c r="E378" s="273">
        <f>D378</f>
        <v>67.764705882352942</v>
      </c>
      <c r="F378" s="266">
        <f t="shared" si="90"/>
        <v>8</v>
      </c>
      <c r="G378" s="266">
        <f t="shared" si="91"/>
        <v>2</v>
      </c>
      <c r="H378" s="266">
        <f t="shared" si="92"/>
        <v>2</v>
      </c>
      <c r="I378" s="312">
        <f>0.000135*(F378)^3-0.002*(F378)^2+0.036*(F378)+1.046</f>
        <v>1.27512</v>
      </c>
      <c r="J378" s="312">
        <f>0.000135*(G378)^3-0.002*(G378)^2+0.04*(G378)+1.296</f>
        <v>1.3690800000000001</v>
      </c>
      <c r="K378" s="312">
        <f>0.00095*(H378)^2+0.022*(H378)+1.64</f>
        <v>1.6878</v>
      </c>
      <c r="L378" s="204">
        <f t="shared" si="99"/>
        <v>14.319597600000002</v>
      </c>
      <c r="M378" s="204">
        <f t="shared" si="99"/>
        <v>15.374768400000001</v>
      </c>
      <c r="N378" s="204">
        <f t="shared" si="99"/>
        <v>18.953994000000002</v>
      </c>
    </row>
    <row r="380" spans="1:15" x14ac:dyDescent="0.25">
      <c r="A380" s="239" t="s">
        <v>260</v>
      </c>
      <c r="B380" s="239"/>
      <c r="C380" s="239"/>
      <c r="D380" s="239"/>
      <c r="E380" s="239"/>
      <c r="F380" s="239"/>
      <c r="G380" s="19"/>
      <c r="I380" s="239" t="s">
        <v>261</v>
      </c>
      <c r="J380" s="239"/>
      <c r="K380" s="239"/>
      <c r="L380" s="239"/>
      <c r="M380" s="239"/>
      <c r="N380" s="239"/>
      <c r="O380" s="19"/>
    </row>
    <row r="381" spans="1:15" x14ac:dyDescent="0.25">
      <c r="A381" t="s">
        <v>243</v>
      </c>
      <c r="F381" s="239" t="s">
        <v>247</v>
      </c>
      <c r="G381" s="239">
        <f>'DATOS DE ENTRADA'!$C$7</f>
        <v>70</v>
      </c>
      <c r="I381" t="s">
        <v>243</v>
      </c>
      <c r="N381" s="239" t="s">
        <v>247</v>
      </c>
      <c r="O381" s="239">
        <f>'DATOS DE ENTRADA'!$C$23</f>
        <v>70</v>
      </c>
    </row>
    <row r="382" spans="1:15" x14ac:dyDescent="0.25">
      <c r="C382" s="569" t="s">
        <v>246</v>
      </c>
      <c r="D382" s="569"/>
      <c r="E382" s="569"/>
      <c r="K382" s="569" t="s">
        <v>246</v>
      </c>
      <c r="L382" s="569"/>
      <c r="M382" s="569"/>
    </row>
    <row r="383" spans="1:15" x14ac:dyDescent="0.25">
      <c r="A383" s="43" t="s">
        <v>18</v>
      </c>
      <c r="B383" s="43" t="s">
        <v>263</v>
      </c>
      <c r="C383" s="298" t="s">
        <v>233</v>
      </c>
      <c r="D383" s="298" t="s">
        <v>234</v>
      </c>
      <c r="E383" s="298" t="s">
        <v>235</v>
      </c>
      <c r="I383" s="43" t="s">
        <v>18</v>
      </c>
      <c r="J383" s="43" t="s">
        <v>263</v>
      </c>
      <c r="K383" s="298" t="s">
        <v>233</v>
      </c>
      <c r="L383" s="298" t="s">
        <v>234</v>
      </c>
      <c r="M383" s="298" t="s">
        <v>235</v>
      </c>
    </row>
    <row r="384" spans="1:15" x14ac:dyDescent="0.25">
      <c r="A384" s="43">
        <v>0</v>
      </c>
      <c r="B384" s="200">
        <f>'N CARRILES HCM'!D3</f>
        <v>243</v>
      </c>
      <c r="C384" s="95">
        <f t="shared" ref="C384:C416" si="100">B384*L268*$G$381*365</f>
        <v>83170990.031062499</v>
      </c>
      <c r="D384" s="95">
        <f t="shared" ref="D384:D416" si="101">B384*M268*$G$381*365</f>
        <v>95456555.826660007</v>
      </c>
      <c r="E384" s="95">
        <f t="shared" ref="E384:E416" si="102">B384*N268*$G$381*365</f>
        <v>117678714.84810001</v>
      </c>
      <c r="I384" s="43">
        <v>0</v>
      </c>
      <c r="J384" s="200">
        <f>'N CARRILES HCM'!D40</f>
        <v>243</v>
      </c>
      <c r="K384" s="95">
        <f t="shared" ref="K384:K416" si="103">J384*L307*365*$O$381</f>
        <v>77467985.835660011</v>
      </c>
      <c r="L384" s="95">
        <f t="shared" ref="L384:L416" si="104">J384*M307*365*$O$381</f>
        <v>95456555.826660007</v>
      </c>
      <c r="M384" s="95">
        <f t="shared" ref="M384:M416" si="105">J384*N307*365*$O$381</f>
        <v>117678714.84810002</v>
      </c>
    </row>
    <row r="385" spans="1:13" x14ac:dyDescent="0.25">
      <c r="A385" s="43">
        <v>1</v>
      </c>
      <c r="B385" s="200">
        <f>'N CARRILES HCM'!D4</f>
        <v>250.29000000000002</v>
      </c>
      <c r="C385" s="95">
        <f t="shared" si="100"/>
        <v>85666119.73199439</v>
      </c>
      <c r="D385" s="95">
        <f t="shared" si="101"/>
        <v>98320252.501459822</v>
      </c>
      <c r="E385" s="95">
        <f t="shared" si="102"/>
        <v>121209076.29354301</v>
      </c>
      <c r="I385" s="43">
        <v>1</v>
      </c>
      <c r="J385" s="200">
        <f>'N CARRILES HCM'!D41</f>
        <v>250.29000000000002</v>
      </c>
      <c r="K385" s="95">
        <f t="shared" si="103"/>
        <v>79792025.410729811</v>
      </c>
      <c r="L385" s="95">
        <f t="shared" si="104"/>
        <v>98320252.501459807</v>
      </c>
      <c r="M385" s="95">
        <f t="shared" si="105"/>
        <v>121209076.29354301</v>
      </c>
    </row>
    <row r="386" spans="1:13" x14ac:dyDescent="0.25">
      <c r="A386" s="43">
        <v>2</v>
      </c>
      <c r="B386" s="200">
        <f>'N CARRILES HCM'!D5</f>
        <v>257.7987</v>
      </c>
      <c r="C386" s="95">
        <f t="shared" si="100"/>
        <v>88236103.32395421</v>
      </c>
      <c r="D386" s="95">
        <f t="shared" si="101"/>
        <v>101269860.07650359</v>
      </c>
      <c r="E386" s="95">
        <f t="shared" si="102"/>
        <v>124845348.5823493</v>
      </c>
      <c r="I386" s="43">
        <v>2</v>
      </c>
      <c r="J386" s="200">
        <f>'N CARRILES HCM'!D42</f>
        <v>257.7987</v>
      </c>
      <c r="K386" s="95">
        <f t="shared" si="103"/>
        <v>82185786.1730517</v>
      </c>
      <c r="L386" s="95">
        <f t="shared" si="104"/>
        <v>101269860.07650359</v>
      </c>
      <c r="M386" s="95">
        <f t="shared" si="105"/>
        <v>124845348.58234929</v>
      </c>
    </row>
    <row r="387" spans="1:13" x14ac:dyDescent="0.25">
      <c r="A387" s="43">
        <v>3</v>
      </c>
      <c r="B387" s="200">
        <f>'N CARRILES HCM'!D6</f>
        <v>265.53266100000002</v>
      </c>
      <c r="C387" s="95">
        <f t="shared" si="100"/>
        <v>90883186.42367284</v>
      </c>
      <c r="D387" s="95">
        <f t="shared" si="101"/>
        <v>104307955.87879871</v>
      </c>
      <c r="E387" s="95">
        <f t="shared" si="102"/>
        <v>128590709.03981979</v>
      </c>
      <c r="I387" s="43">
        <v>3</v>
      </c>
      <c r="J387" s="200">
        <f>'N CARRILES HCM'!D43</f>
        <v>265.53266100000002</v>
      </c>
      <c r="K387" s="95">
        <f t="shared" si="103"/>
        <v>84651359.758243263</v>
      </c>
      <c r="L387" s="95">
        <f t="shared" si="104"/>
        <v>104307955.87879871</v>
      </c>
      <c r="M387" s="95">
        <f t="shared" si="105"/>
        <v>128590709.03981979</v>
      </c>
    </row>
    <row r="388" spans="1:13" x14ac:dyDescent="0.25">
      <c r="A388" s="43">
        <v>4</v>
      </c>
      <c r="B388" s="200">
        <f>'N CARRILES HCM'!D7</f>
        <v>273.49864083</v>
      </c>
      <c r="C388" s="95">
        <f t="shared" si="100"/>
        <v>93609682.016383007</v>
      </c>
      <c r="D388" s="95">
        <f t="shared" si="101"/>
        <v>107437194.55516267</v>
      </c>
      <c r="E388" s="95">
        <f t="shared" si="102"/>
        <v>132448430.31101437</v>
      </c>
      <c r="I388" s="43">
        <v>4</v>
      </c>
      <c r="J388" s="200">
        <f>'N CARRILES HCM'!D44</f>
        <v>273.49864083</v>
      </c>
      <c r="K388" s="95">
        <f t="shared" si="103"/>
        <v>87190900.550990537</v>
      </c>
      <c r="L388" s="95">
        <f t="shared" si="104"/>
        <v>107437194.55516267</v>
      </c>
      <c r="M388" s="95">
        <f t="shared" si="105"/>
        <v>132448430.31101438</v>
      </c>
    </row>
    <row r="389" spans="1:13" x14ac:dyDescent="0.25">
      <c r="A389" s="43">
        <v>5</v>
      </c>
      <c r="B389" s="200">
        <f>'N CARRILES HCM'!D8</f>
        <v>281.70360005489994</v>
      </c>
      <c r="C389" s="95">
        <f t="shared" si="100"/>
        <v>96417972.476874486</v>
      </c>
      <c r="D389" s="95">
        <f t="shared" si="101"/>
        <v>110660310.39181753</v>
      </c>
      <c r="E389" s="95">
        <f t="shared" si="102"/>
        <v>136421883.22034475</v>
      </c>
      <c r="I389" s="43">
        <v>5</v>
      </c>
      <c r="J389" s="200">
        <f>'N CARRILES HCM'!D45</f>
        <v>281.70360005489994</v>
      </c>
      <c r="K389" s="95">
        <f t="shared" si="103"/>
        <v>89806627.567520246</v>
      </c>
      <c r="L389" s="95">
        <f t="shared" si="104"/>
        <v>110660310.39181753</v>
      </c>
      <c r="M389" s="95">
        <f t="shared" si="105"/>
        <v>136421883.22034478</v>
      </c>
    </row>
    <row r="390" spans="1:13" x14ac:dyDescent="0.25">
      <c r="A390" s="43">
        <v>6</v>
      </c>
      <c r="B390" s="200">
        <f>'N CARRILES HCM'!D9</f>
        <v>290.15470805654695</v>
      </c>
      <c r="C390" s="95">
        <f t="shared" si="100"/>
        <v>99310511.651180714</v>
      </c>
      <c r="D390" s="95">
        <f t="shared" si="101"/>
        <v>113980119.70357205</v>
      </c>
      <c r="E390" s="95">
        <f t="shared" si="102"/>
        <v>140514539.71695513</v>
      </c>
      <c r="I390" s="43">
        <v>6</v>
      </c>
      <c r="J390" s="200">
        <f>'N CARRILES HCM'!D46</f>
        <v>290.15470805654695</v>
      </c>
      <c r="K390" s="95">
        <f t="shared" si="103"/>
        <v>92500826.394545853</v>
      </c>
      <c r="L390" s="95">
        <f t="shared" si="104"/>
        <v>113980119.70357206</v>
      </c>
      <c r="M390" s="95">
        <f t="shared" si="105"/>
        <v>140514539.71695513</v>
      </c>
    </row>
    <row r="391" spans="1:13" x14ac:dyDescent="0.25">
      <c r="A391" s="43">
        <v>7</v>
      </c>
      <c r="B391" s="200">
        <f>'N CARRILES HCM'!D10</f>
        <v>298.85934929824339</v>
      </c>
      <c r="C391" s="95">
        <f t="shared" si="100"/>
        <v>102289827.00071616</v>
      </c>
      <c r="D391" s="95">
        <f t="shared" si="101"/>
        <v>117399523.29467922</v>
      </c>
      <c r="E391" s="95">
        <f t="shared" si="102"/>
        <v>144729975.90846381</v>
      </c>
      <c r="I391" s="43">
        <v>7</v>
      </c>
      <c r="J391" s="200">
        <f>'N CARRILES HCM'!D47</f>
        <v>298.85934929824339</v>
      </c>
      <c r="K391" s="95">
        <f t="shared" si="103"/>
        <v>95275851.186382249</v>
      </c>
      <c r="L391" s="95">
        <f t="shared" si="104"/>
        <v>117399523.29467921</v>
      </c>
      <c r="M391" s="95">
        <f t="shared" si="105"/>
        <v>144729975.90846381</v>
      </c>
    </row>
    <row r="392" spans="1:13" x14ac:dyDescent="0.25">
      <c r="A392" s="43">
        <v>8</v>
      </c>
      <c r="B392" s="200">
        <f>'N CARRILES HCM'!D11</f>
        <v>307.82512977719068</v>
      </c>
      <c r="C392" s="95">
        <f t="shared" si="100"/>
        <v>105358521.81073762</v>
      </c>
      <c r="D392" s="95">
        <f t="shared" si="101"/>
        <v>120921508.99351959</v>
      </c>
      <c r="E392" s="95">
        <f t="shared" si="102"/>
        <v>149071875.1857177</v>
      </c>
      <c r="I392" s="43">
        <v>8</v>
      </c>
      <c r="J392" s="200">
        <f>'N CARRILES HCM'!D48</f>
        <v>307.82512977719068</v>
      </c>
      <c r="K392" s="95">
        <f t="shared" si="103"/>
        <v>98134126.721973702</v>
      </c>
      <c r="L392" s="95">
        <f t="shared" si="104"/>
        <v>120921508.9935196</v>
      </c>
      <c r="M392" s="95">
        <f t="shared" si="105"/>
        <v>149071875.1857177</v>
      </c>
    </row>
    <row r="393" spans="1:13" x14ac:dyDescent="0.25">
      <c r="A393" s="43">
        <v>9</v>
      </c>
      <c r="B393" s="200">
        <f>'N CARRILES HCM'!D12</f>
        <v>317.05988367050639</v>
      </c>
      <c r="C393" s="95">
        <f t="shared" si="100"/>
        <v>108519277.46505977</v>
      </c>
      <c r="D393" s="95">
        <f t="shared" si="101"/>
        <v>124549154.2633252</v>
      </c>
      <c r="E393" s="95">
        <f t="shared" si="102"/>
        <v>153544031.44128925</v>
      </c>
      <c r="I393" s="43">
        <v>9</v>
      </c>
      <c r="J393" s="200">
        <f>'N CARRILES HCM'!D49</f>
        <v>317.05988367050639</v>
      </c>
      <c r="K393" s="95">
        <f t="shared" si="103"/>
        <v>101078150.52363291</v>
      </c>
      <c r="L393" s="95">
        <f t="shared" si="104"/>
        <v>124549154.2633252</v>
      </c>
      <c r="M393" s="95">
        <f t="shared" si="105"/>
        <v>153544031.44128922</v>
      </c>
    </row>
    <row r="394" spans="1:13" x14ac:dyDescent="0.25">
      <c r="A394" s="43">
        <v>10</v>
      </c>
      <c r="B394" s="200">
        <f>'N CARRILES HCM'!D13</f>
        <v>326.57168018062157</v>
      </c>
      <c r="C394" s="95">
        <f t="shared" si="100"/>
        <v>111774855.78901157</v>
      </c>
      <c r="D394" s="95">
        <f t="shared" si="101"/>
        <v>128285628.89122494</v>
      </c>
      <c r="E394" s="95">
        <f t="shared" si="102"/>
        <v>158150352.38452789</v>
      </c>
      <c r="I394" s="43">
        <v>10</v>
      </c>
      <c r="J394" s="200">
        <f>'N CARRILES HCM'!D50</f>
        <v>326.57168018062157</v>
      </c>
      <c r="K394" s="95">
        <f t="shared" si="103"/>
        <v>104110495.0393419</v>
      </c>
      <c r="L394" s="95">
        <f t="shared" si="104"/>
        <v>128285628.89122494</v>
      </c>
      <c r="M394" s="95">
        <f t="shared" si="105"/>
        <v>158150352.38452789</v>
      </c>
    </row>
    <row r="395" spans="1:13" x14ac:dyDescent="0.25">
      <c r="A395" s="43">
        <v>11</v>
      </c>
      <c r="B395" s="200">
        <f>'N CARRILES HCM'!D14</f>
        <v>336.36883058604025</v>
      </c>
      <c r="C395" s="95">
        <f t="shared" si="100"/>
        <v>115128101.4626819</v>
      </c>
      <c r="D395" s="95">
        <f t="shared" si="101"/>
        <v>132134197.75796171</v>
      </c>
      <c r="E395" s="95">
        <f t="shared" si="102"/>
        <v>162894862.95606375</v>
      </c>
      <c r="I395" s="43">
        <v>11</v>
      </c>
      <c r="J395" s="200">
        <f>'N CARRILES HCM'!D51</f>
        <v>336.36883058604025</v>
      </c>
      <c r="K395" s="95">
        <f t="shared" si="103"/>
        <v>107233809.89052217</v>
      </c>
      <c r="L395" s="95">
        <f t="shared" si="104"/>
        <v>132134197.75796171</v>
      </c>
      <c r="M395" s="95">
        <f t="shared" si="105"/>
        <v>162894862.95606375</v>
      </c>
    </row>
    <row r="396" spans="1:13" x14ac:dyDescent="0.25">
      <c r="A396" s="43">
        <v>12</v>
      </c>
      <c r="B396" s="200">
        <f>'N CARRILES HCM'!D15</f>
        <v>346.4598955036214</v>
      </c>
      <c r="C396" s="95">
        <f t="shared" si="100"/>
        <v>118581944.50656234</v>
      </c>
      <c r="D396" s="95">
        <f t="shared" si="101"/>
        <v>136098223.69070053</v>
      </c>
      <c r="E396" s="95">
        <f t="shared" si="102"/>
        <v>167781708.84474564</v>
      </c>
      <c r="I396" s="43">
        <v>12</v>
      </c>
      <c r="J396" s="200">
        <f>'N CARRILES HCM'!D52</f>
        <v>346.4598955036214</v>
      </c>
      <c r="K396" s="95">
        <f t="shared" si="103"/>
        <v>110450824.18723781</v>
      </c>
      <c r="L396" s="95">
        <f t="shared" si="104"/>
        <v>136098223.69070053</v>
      </c>
      <c r="M396" s="95">
        <f t="shared" si="105"/>
        <v>167781708.84474561</v>
      </c>
    </row>
    <row r="397" spans="1:13" x14ac:dyDescent="0.25">
      <c r="A397" s="43">
        <v>13</v>
      </c>
      <c r="B397" s="200">
        <f>'N CARRILES HCM'!D16</f>
        <v>356.85369236873004</v>
      </c>
      <c r="C397" s="95">
        <f t="shared" si="100"/>
        <v>122139402.84175922</v>
      </c>
      <c r="D397" s="95">
        <f t="shared" si="101"/>
        <v>140181170.40142155</v>
      </c>
      <c r="E397" s="95">
        <f t="shared" si="102"/>
        <v>172815160.11008799</v>
      </c>
      <c r="I397" s="43">
        <v>13</v>
      </c>
      <c r="J397" s="200">
        <f>'N CARRILES HCM'!D53</f>
        <v>356.85369236873004</v>
      </c>
      <c r="K397" s="95">
        <f t="shared" si="103"/>
        <v>113764348.91285494</v>
      </c>
      <c r="L397" s="95">
        <f t="shared" si="104"/>
        <v>140181170.40142155</v>
      </c>
      <c r="M397" s="95">
        <f t="shared" si="105"/>
        <v>172815160.11008799</v>
      </c>
    </row>
    <row r="398" spans="1:13" x14ac:dyDescent="0.25">
      <c r="A398" s="43">
        <v>14</v>
      </c>
      <c r="B398" s="200">
        <f>'N CARRILES HCM'!D17</f>
        <v>367.55930313979195</v>
      </c>
      <c r="C398" s="95">
        <f t="shared" si="100"/>
        <v>128575666.85496466</v>
      </c>
      <c r="D398" s="95">
        <f t="shared" si="101"/>
        <v>144386605.51346418</v>
      </c>
      <c r="E398" s="95">
        <f t="shared" si="102"/>
        <v>177999614.91339067</v>
      </c>
      <c r="I398" s="43">
        <v>14</v>
      </c>
      <c r="J398" s="200">
        <f>'N CARRILES HCM'!D54</f>
        <v>367.55930313979195</v>
      </c>
      <c r="K398" s="95">
        <f t="shared" si="103"/>
        <v>117177279.38024059</v>
      </c>
      <c r="L398" s="95">
        <f t="shared" si="104"/>
        <v>144386605.51346418</v>
      </c>
      <c r="M398" s="95">
        <f t="shared" si="105"/>
        <v>177999614.91339067</v>
      </c>
    </row>
    <row r="399" spans="1:13" x14ac:dyDescent="0.25">
      <c r="A399" s="43">
        <v>15</v>
      </c>
      <c r="B399" s="200">
        <f>'N CARRILES HCM'!D18</f>
        <v>378.58608223398574</v>
      </c>
      <c r="C399" s="95">
        <f t="shared" si="100"/>
        <v>132432936.86061358</v>
      </c>
      <c r="D399" s="95">
        <f t="shared" si="101"/>
        <v>148718203.67886811</v>
      </c>
      <c r="E399" s="95">
        <f t="shared" si="102"/>
        <v>183339603.3607924</v>
      </c>
      <c r="I399" s="43">
        <v>15</v>
      </c>
      <c r="J399" s="200">
        <f>'N CARRILES HCM'!D55</f>
        <v>378.58608223398574</v>
      </c>
      <c r="K399" s="95">
        <f t="shared" si="103"/>
        <v>120692597.76164782</v>
      </c>
      <c r="L399" s="95">
        <f t="shared" si="104"/>
        <v>148718203.67886811</v>
      </c>
      <c r="M399" s="95">
        <f t="shared" si="105"/>
        <v>183339603.3607924</v>
      </c>
    </row>
    <row r="400" spans="1:13" x14ac:dyDescent="0.25">
      <c r="A400" s="43">
        <v>16</v>
      </c>
      <c r="B400" s="200">
        <f>'N CARRILES HCM'!D19</f>
        <v>389.94366470100528</v>
      </c>
      <c r="C400" s="95">
        <f t="shared" si="100"/>
        <v>136405924.96643201</v>
      </c>
      <c r="D400" s="95">
        <f t="shared" si="101"/>
        <v>153179749.78923416</v>
      </c>
      <c r="E400" s="95">
        <f t="shared" si="102"/>
        <v>188839791.46161613</v>
      </c>
      <c r="I400" s="43">
        <v>16</v>
      </c>
      <c r="J400" s="200">
        <f>'N CARRILES HCM'!D56</f>
        <v>389.94366470100528</v>
      </c>
      <c r="K400" s="95">
        <f t="shared" si="103"/>
        <v>124313375.69449723</v>
      </c>
      <c r="L400" s="95">
        <f t="shared" si="104"/>
        <v>153179749.78923416</v>
      </c>
      <c r="M400" s="95">
        <f t="shared" si="105"/>
        <v>188839791.46161613</v>
      </c>
    </row>
    <row r="401" spans="1:13" x14ac:dyDescent="0.25">
      <c r="A401" s="43">
        <v>17</v>
      </c>
      <c r="B401" s="200">
        <f>'N CARRILES HCM'!D20</f>
        <v>401.64197464203539</v>
      </c>
      <c r="C401" s="95">
        <f t="shared" si="100"/>
        <v>140498102.71542495</v>
      </c>
      <c r="D401" s="95">
        <f t="shared" si="101"/>
        <v>157775142.28291118</v>
      </c>
      <c r="E401" s="95">
        <f t="shared" si="102"/>
        <v>194504985.20546457</v>
      </c>
      <c r="I401" s="43">
        <v>17</v>
      </c>
      <c r="J401" s="200">
        <f>'N CARRILES HCM'!D57</f>
        <v>401.64197464203539</v>
      </c>
      <c r="K401" s="95">
        <f t="shared" si="103"/>
        <v>128042776.96533215</v>
      </c>
      <c r="L401" s="95">
        <f t="shared" si="104"/>
        <v>157775142.28291115</v>
      </c>
      <c r="M401" s="95">
        <f t="shared" si="105"/>
        <v>194504985.2054646</v>
      </c>
    </row>
    <row r="402" spans="1:13" x14ac:dyDescent="0.25">
      <c r="A402" s="43">
        <v>18</v>
      </c>
      <c r="B402" s="200">
        <f>'N CARRILES HCM'!D21</f>
        <v>413.69123388129651</v>
      </c>
      <c r="C402" s="95">
        <f t="shared" si="100"/>
        <v>144713045.79688773</v>
      </c>
      <c r="D402" s="95">
        <f t="shared" si="101"/>
        <v>162508396.55139852</v>
      </c>
      <c r="E402" s="95">
        <f t="shared" si="102"/>
        <v>200340134.76162857</v>
      </c>
      <c r="I402" s="43">
        <v>18</v>
      </c>
      <c r="J402" s="200">
        <f>'N CARRILES HCM'!D58</f>
        <v>413.69123388129651</v>
      </c>
      <c r="K402" s="95">
        <f t="shared" si="103"/>
        <v>131884060.27429214</v>
      </c>
      <c r="L402" s="95">
        <f t="shared" si="104"/>
        <v>162508396.55139852</v>
      </c>
      <c r="M402" s="95">
        <f t="shared" si="105"/>
        <v>200340134.76162854</v>
      </c>
    </row>
    <row r="403" spans="1:13" x14ac:dyDescent="0.25">
      <c r="A403" s="43">
        <v>19</v>
      </c>
      <c r="B403" s="200">
        <f>'N CARRILES HCM'!D22</f>
        <v>426.10197089773538</v>
      </c>
      <c r="C403" s="95">
        <f t="shared" si="100"/>
        <v>149054437.17079434</v>
      </c>
      <c r="D403" s="95">
        <f t="shared" si="101"/>
        <v>167383648.44794047</v>
      </c>
      <c r="E403" s="95">
        <f t="shared" si="102"/>
        <v>206350338.80447739</v>
      </c>
      <c r="I403" s="43">
        <v>19</v>
      </c>
      <c r="J403" s="200">
        <f>'N CARRILES HCM'!D59</f>
        <v>426.10197089773538</v>
      </c>
      <c r="K403" s="95">
        <f t="shared" si="103"/>
        <v>135840582.0825209</v>
      </c>
      <c r="L403" s="95">
        <f t="shared" si="104"/>
        <v>167383648.44794047</v>
      </c>
      <c r="M403" s="95">
        <f t="shared" si="105"/>
        <v>206350338.80447739</v>
      </c>
    </row>
    <row r="404" spans="1:13" x14ac:dyDescent="0.25">
      <c r="A404" s="43">
        <v>20</v>
      </c>
      <c r="B404" s="200">
        <f>'N CARRILES HCM'!D23</f>
        <v>438.8850300246674</v>
      </c>
      <c r="C404" s="95">
        <f t="shared" si="100"/>
        <v>153526070.28591815</v>
      </c>
      <c r="D404" s="95">
        <f t="shared" si="101"/>
        <v>172405157.90137869</v>
      </c>
      <c r="E404" s="95">
        <f t="shared" si="102"/>
        <v>212540848.96861169</v>
      </c>
      <c r="I404" s="43">
        <v>20</v>
      </c>
      <c r="J404" s="200">
        <f>'N CARRILES HCM'!D60</f>
        <v>438.8850300246674</v>
      </c>
      <c r="K404" s="95">
        <f t="shared" si="103"/>
        <v>139915799.5449965</v>
      </c>
      <c r="L404" s="95">
        <f t="shared" si="104"/>
        <v>172405157.90137869</v>
      </c>
      <c r="M404" s="95">
        <f t="shared" si="105"/>
        <v>212540848.96861169</v>
      </c>
    </row>
    <row r="405" spans="1:13" x14ac:dyDescent="0.25">
      <c r="A405" s="43">
        <v>21</v>
      </c>
      <c r="B405" s="200">
        <f>'N CARRILES HCM'!D24</f>
        <v>452.05158092540739</v>
      </c>
      <c r="C405" s="95">
        <f t="shared" si="100"/>
        <v>158131852.39449567</v>
      </c>
      <c r="D405" s="95">
        <f t="shared" si="101"/>
        <v>177577312.63842002</v>
      </c>
      <c r="E405" s="95">
        <f t="shared" si="102"/>
        <v>218917074.43767005</v>
      </c>
      <c r="I405" s="43">
        <v>21</v>
      </c>
      <c r="J405" s="200">
        <f>'N CARRILES HCM'!D61</f>
        <v>452.05158092540739</v>
      </c>
      <c r="K405" s="95">
        <f t="shared" si="103"/>
        <v>144113273.53134638</v>
      </c>
      <c r="L405" s="95">
        <f t="shared" si="104"/>
        <v>177577312.63842002</v>
      </c>
      <c r="M405" s="95">
        <f t="shared" si="105"/>
        <v>218917074.43767008</v>
      </c>
    </row>
    <row r="406" spans="1:13" x14ac:dyDescent="0.25">
      <c r="A406" s="43">
        <v>22</v>
      </c>
      <c r="B406" s="200">
        <f>'N CARRILES HCM'!D25</f>
        <v>465.61312835316966</v>
      </c>
      <c r="C406" s="95">
        <f t="shared" si="100"/>
        <v>162875807.96633056</v>
      </c>
      <c r="D406" s="95">
        <f t="shared" si="101"/>
        <v>182904632.01757264</v>
      </c>
      <c r="E406" s="95">
        <f t="shared" si="102"/>
        <v>225484586.67080018</v>
      </c>
      <c r="I406" s="43">
        <v>22</v>
      </c>
      <c r="J406" s="200">
        <f>'N CARRILES HCM'!D62</f>
        <v>465.61312835316966</v>
      </c>
      <c r="K406" s="95">
        <f t="shared" si="103"/>
        <v>148436671.73728681</v>
      </c>
      <c r="L406" s="95">
        <f t="shared" si="104"/>
        <v>182904632.01757261</v>
      </c>
      <c r="M406" s="95">
        <f t="shared" si="105"/>
        <v>225484586.67080018</v>
      </c>
    </row>
    <row r="407" spans="1:13" x14ac:dyDescent="0.25">
      <c r="A407" s="43">
        <v>23</v>
      </c>
      <c r="B407" s="200">
        <f>'N CARRILES HCM'!D26</f>
        <v>479.58152220376479</v>
      </c>
      <c r="C407" s="95">
        <f t="shared" si="100"/>
        <v>167762082.20532051</v>
      </c>
      <c r="D407" s="95">
        <f t="shared" si="101"/>
        <v>188391770.97809985</v>
      </c>
      <c r="E407" s="95">
        <f t="shared" si="102"/>
        <v>232249124.27092418</v>
      </c>
      <c r="I407" s="43">
        <v>23</v>
      </c>
      <c r="J407" s="200">
        <f>'N CARRILES HCM'!D63</f>
        <v>479.58152220376479</v>
      </c>
      <c r="K407" s="95">
        <f t="shared" si="103"/>
        <v>152889771.88940543</v>
      </c>
      <c r="L407" s="95">
        <f t="shared" si="104"/>
        <v>188391770.97809982</v>
      </c>
      <c r="M407" s="95">
        <f t="shared" si="105"/>
        <v>232249124.27092421</v>
      </c>
    </row>
    <row r="408" spans="1:13" x14ac:dyDescent="0.25">
      <c r="A408" s="43">
        <v>24</v>
      </c>
      <c r="B408" s="200">
        <f>'N CARRILES HCM'!D27</f>
        <v>493.96896786987764</v>
      </c>
      <c r="C408" s="95">
        <f t="shared" si="100"/>
        <v>172794944.67148009</v>
      </c>
      <c r="D408" s="95">
        <f t="shared" si="101"/>
        <v>194043524.10744277</v>
      </c>
      <c r="E408" s="95">
        <f t="shared" si="102"/>
        <v>239216597.9990519</v>
      </c>
      <c r="I408" s="43">
        <v>24</v>
      </c>
      <c r="J408" s="200">
        <f>'N CARRILES HCM'!D64</f>
        <v>493.96896786987764</v>
      </c>
      <c r="K408" s="95">
        <f t="shared" si="103"/>
        <v>157476465.04608756</v>
      </c>
      <c r="L408" s="95">
        <f t="shared" si="104"/>
        <v>194043524.1074428</v>
      </c>
      <c r="M408" s="95">
        <f t="shared" si="105"/>
        <v>239216597.9990519</v>
      </c>
    </row>
    <row r="409" spans="1:13" x14ac:dyDescent="0.25">
      <c r="A409" s="43">
        <v>25</v>
      </c>
      <c r="B409" s="200">
        <f>'N CARRILES HCM'!D28</f>
        <v>508.78803690597397</v>
      </c>
      <c r="C409" s="95">
        <f t="shared" si="100"/>
        <v>177978793.01162449</v>
      </c>
      <c r="D409" s="95">
        <f t="shared" si="101"/>
        <v>199864829.83066607</v>
      </c>
      <c r="E409" s="95">
        <f t="shared" si="102"/>
        <v>246393095.93902346</v>
      </c>
      <c r="I409" s="43">
        <v>25</v>
      </c>
      <c r="J409" s="200">
        <f>'N CARRILES HCM'!D65</f>
        <v>508.78803690597397</v>
      </c>
      <c r="K409" s="95">
        <f t="shared" si="103"/>
        <v>162200758.99747017</v>
      </c>
      <c r="L409" s="95">
        <f t="shared" si="104"/>
        <v>199864829.83066607</v>
      </c>
      <c r="M409" s="95">
        <f t="shared" si="105"/>
        <v>246393095.93902344</v>
      </c>
    </row>
    <row r="410" spans="1:13" x14ac:dyDescent="0.25">
      <c r="A410" s="43">
        <v>26</v>
      </c>
      <c r="B410" s="200">
        <f>'N CARRILES HCM'!D29</f>
        <v>524.05167801315326</v>
      </c>
      <c r="C410" s="95">
        <f t="shared" si="100"/>
        <v>183318156.80197325</v>
      </c>
      <c r="D410" s="95">
        <f t="shared" si="101"/>
        <v>205860774.72558606</v>
      </c>
      <c r="E410" s="95">
        <f t="shared" si="102"/>
        <v>253784888.81719419</v>
      </c>
      <c r="I410" s="43">
        <v>26</v>
      </c>
      <c r="J410" s="200">
        <f>'N CARRILES HCM'!D66</f>
        <v>524.05167801315326</v>
      </c>
      <c r="K410" s="95">
        <f t="shared" si="103"/>
        <v>167066781.7673943</v>
      </c>
      <c r="L410" s="95">
        <f t="shared" si="104"/>
        <v>205860774.72558606</v>
      </c>
      <c r="M410" s="95">
        <f t="shared" si="105"/>
        <v>253784888.81719419</v>
      </c>
    </row>
    <row r="411" spans="1:13" x14ac:dyDescent="0.25">
      <c r="A411" s="43">
        <v>27</v>
      </c>
      <c r="B411" s="200">
        <f>'N CARRILES HCM'!D30</f>
        <v>539.77322835354778</v>
      </c>
      <c r="C411" s="95">
        <f t="shared" si="100"/>
        <v>188817701.50603241</v>
      </c>
      <c r="D411" s="95">
        <f t="shared" si="101"/>
        <v>212036597.96735361</v>
      </c>
      <c r="E411" s="95">
        <f t="shared" si="102"/>
        <v>261398435.48170993</v>
      </c>
      <c r="I411" s="43">
        <v>27</v>
      </c>
      <c r="J411" s="200">
        <f>'N CARRILES HCM'!D67</f>
        <v>539.77322835354778</v>
      </c>
      <c r="K411" s="95">
        <f t="shared" si="103"/>
        <v>172078785.2204161</v>
      </c>
      <c r="L411" s="95">
        <f t="shared" si="104"/>
        <v>212036597.96735361</v>
      </c>
      <c r="M411" s="95">
        <f t="shared" si="105"/>
        <v>261398435.48170993</v>
      </c>
    </row>
    <row r="412" spans="1:13" x14ac:dyDescent="0.25">
      <c r="A412" s="43">
        <v>28</v>
      </c>
      <c r="B412" s="200">
        <f>'N CARRILES HCM'!D31</f>
        <v>555.96642520415423</v>
      </c>
      <c r="C412" s="95">
        <f t="shared" si="100"/>
        <v>194482232.55121341</v>
      </c>
      <c r="D412" s="95">
        <f t="shared" si="101"/>
        <v>218397695.90637425</v>
      </c>
      <c r="E412" s="95">
        <f t="shared" si="102"/>
        <v>269240388.54616129</v>
      </c>
      <c r="I412" s="43">
        <v>28</v>
      </c>
      <c r="J412" s="200">
        <f>'N CARRILES HCM'!D68</f>
        <v>555.96642520415423</v>
      </c>
      <c r="K412" s="95">
        <f t="shared" si="103"/>
        <v>177241148.77702859</v>
      </c>
      <c r="L412" s="95">
        <f t="shared" si="104"/>
        <v>218397695.90637422</v>
      </c>
      <c r="M412" s="95">
        <f t="shared" si="105"/>
        <v>269240388.54616129</v>
      </c>
    </row>
    <row r="413" spans="1:13" x14ac:dyDescent="0.25">
      <c r="A413" s="43">
        <v>29</v>
      </c>
      <c r="B413" s="200">
        <f>'N CARRILES HCM'!D32</f>
        <v>572.64541796027879</v>
      </c>
      <c r="C413" s="95">
        <f t="shared" si="100"/>
        <v>200316699.52774981</v>
      </c>
      <c r="D413" s="95">
        <f t="shared" si="101"/>
        <v>224949626.78356543</v>
      </c>
      <c r="E413" s="95">
        <f t="shared" si="102"/>
        <v>277317600.20254606</v>
      </c>
      <c r="I413" s="43">
        <v>29</v>
      </c>
      <c r="J413" s="200">
        <f>'N CARRILES HCM'!D69</f>
        <v>572.64541796027879</v>
      </c>
      <c r="K413" s="95">
        <f t="shared" si="103"/>
        <v>182558383.24033943</v>
      </c>
      <c r="L413" s="95">
        <f t="shared" si="104"/>
        <v>224949626.78356543</v>
      </c>
      <c r="M413" s="95">
        <f t="shared" si="105"/>
        <v>277317600.20254606</v>
      </c>
    </row>
    <row r="414" spans="1:13" x14ac:dyDescent="0.25">
      <c r="A414" s="43">
        <v>30</v>
      </c>
      <c r="B414" s="200">
        <f>'N CARRILES HCM'!D33</f>
        <v>589.82478049908718</v>
      </c>
      <c r="C414" s="95">
        <f t="shared" si="100"/>
        <v>206326200.51358229</v>
      </c>
      <c r="D414" s="95">
        <f t="shared" si="101"/>
        <v>231698115.5870724</v>
      </c>
      <c r="E414" s="95">
        <f t="shared" si="102"/>
        <v>285637128.20862246</v>
      </c>
      <c r="I414" s="43">
        <v>30</v>
      </c>
      <c r="J414" s="200">
        <f>'N CARRILES HCM'!D70</f>
        <v>589.82478049908718</v>
      </c>
      <c r="K414" s="95">
        <f t="shared" si="103"/>
        <v>188035134.73754963</v>
      </c>
      <c r="L414" s="95">
        <f t="shared" si="104"/>
        <v>231698115.5870724</v>
      </c>
      <c r="M414" s="95">
        <f t="shared" si="105"/>
        <v>285637128.20862246</v>
      </c>
    </row>
    <row r="415" spans="1:13" x14ac:dyDescent="0.25">
      <c r="A415" s="43">
        <v>31</v>
      </c>
      <c r="B415" s="200">
        <f>'N CARRILES HCM'!D34</f>
        <v>607.51952391405985</v>
      </c>
      <c r="C415" s="95">
        <f t="shared" si="100"/>
        <v>212515986.52898976</v>
      </c>
      <c r="D415" s="95">
        <f t="shared" si="101"/>
        <v>238649059.05468458</v>
      </c>
      <c r="E415" s="95">
        <f t="shared" si="102"/>
        <v>294206242.05488116</v>
      </c>
      <c r="I415" s="43">
        <v>31</v>
      </c>
      <c r="J415" s="200">
        <f>'N CARRILES HCM'!D71</f>
        <v>607.51952391405985</v>
      </c>
      <c r="K415" s="95">
        <f t="shared" si="103"/>
        <v>193676188.77967614</v>
      </c>
      <c r="L415" s="95">
        <f t="shared" si="104"/>
        <v>238649059.05468458</v>
      </c>
      <c r="M415" s="95">
        <f t="shared" si="105"/>
        <v>294206242.05488122</v>
      </c>
    </row>
    <row r="416" spans="1:13" x14ac:dyDescent="0.25">
      <c r="A416" s="43">
        <v>32</v>
      </c>
      <c r="B416" s="200">
        <f>'N CARRILES HCM'!D35</f>
        <v>625.74510963148157</v>
      </c>
      <c r="C416" s="95">
        <f t="shared" si="100"/>
        <v>218891466.12485945</v>
      </c>
      <c r="D416" s="95">
        <f t="shared" si="101"/>
        <v>245808530.82632512</v>
      </c>
      <c r="E416" s="95">
        <f t="shared" si="102"/>
        <v>303032429.31652755</v>
      </c>
      <c r="I416" s="43">
        <v>32</v>
      </c>
      <c r="J416" s="200">
        <f>'N CARRILES HCM'!D72</f>
        <v>625.74510963148157</v>
      </c>
      <c r="K416" s="95">
        <f t="shared" si="103"/>
        <v>199486474.44306639</v>
      </c>
      <c r="L416" s="95">
        <f t="shared" si="104"/>
        <v>245808530.82632512</v>
      </c>
      <c r="M416" s="95">
        <f t="shared" si="105"/>
        <v>303032429.31652755</v>
      </c>
    </row>
    <row r="417" spans="1:14" x14ac:dyDescent="0.25">
      <c r="A417" s="239" t="s">
        <v>530</v>
      </c>
      <c r="B417" s="239"/>
      <c r="C417" s="239"/>
      <c r="D417" s="239"/>
      <c r="E417" s="239"/>
      <c r="F417" s="239"/>
      <c r="G417" s="19"/>
      <c r="J417" t="s">
        <v>262</v>
      </c>
    </row>
    <row r="418" spans="1:14" x14ac:dyDescent="0.25">
      <c r="A418" t="s">
        <v>243</v>
      </c>
      <c r="F418" s="239" t="s">
        <v>247</v>
      </c>
      <c r="G418" s="239">
        <f>$G$131</f>
        <v>70</v>
      </c>
      <c r="J418" s="569" t="s">
        <v>246</v>
      </c>
      <c r="K418" s="569"/>
      <c r="L418" s="569"/>
      <c r="M418" s="574" t="s">
        <v>250</v>
      </c>
      <c r="N418" s="574"/>
    </row>
    <row r="419" spans="1:14" x14ac:dyDescent="0.25">
      <c r="C419" s="569" t="s">
        <v>246</v>
      </c>
      <c r="D419" s="569"/>
      <c r="E419" s="569"/>
      <c r="I419" s="43" t="s">
        <v>18</v>
      </c>
      <c r="J419" s="270" t="s">
        <v>126</v>
      </c>
      <c r="K419" s="270" t="s">
        <v>90</v>
      </c>
      <c r="L419" s="270" t="s">
        <v>127</v>
      </c>
      <c r="M419" s="574"/>
      <c r="N419" s="574"/>
    </row>
    <row r="420" spans="1:14" x14ac:dyDescent="0.25">
      <c r="A420" s="43" t="s">
        <v>18</v>
      </c>
      <c r="B420" s="43" t="s">
        <v>263</v>
      </c>
      <c r="C420" s="298" t="s">
        <v>233</v>
      </c>
      <c r="D420" s="298" t="s">
        <v>234</v>
      </c>
      <c r="E420" s="298" t="s">
        <v>235</v>
      </c>
      <c r="I420" s="43">
        <v>0</v>
      </c>
      <c r="J420" s="95">
        <f>IF($B$20="P",C384,IF($B$20="L",D384,IF($B$20="M",E384)))</f>
        <v>83170990.031062499</v>
      </c>
      <c r="K420" s="95">
        <f>IF($B$57="P",K384,IF($B$57="L",L384,IF($B$57="M",M384)))</f>
        <v>77467985.835660011</v>
      </c>
      <c r="L420" s="95">
        <f>IF($B$94="P",C421,IF($B$94="L",D421,IF($B$94="M",E421)))</f>
        <v>170007325.50564003</v>
      </c>
      <c r="M420" s="299">
        <f>L420-K420-J420</f>
        <v>9368349.6389175206</v>
      </c>
      <c r="N420" s="70"/>
    </row>
    <row r="421" spans="1:14" x14ac:dyDescent="0.25">
      <c r="A421" s="43">
        <v>0</v>
      </c>
      <c r="B421" s="200">
        <f>'N CARRILES HCM'!D77</f>
        <v>486</v>
      </c>
      <c r="C421" s="95">
        <f>B421*365*$G$418*$L$346</f>
        <v>170007325.50564003</v>
      </c>
      <c r="D421" s="95">
        <f>B421*365*$G$418*$M$346</f>
        <v>190913111.65332001</v>
      </c>
      <c r="E421" s="95">
        <f>B421*365*$G$418*$N$346</f>
        <v>235357429.69620001</v>
      </c>
      <c r="I421" s="43">
        <v>1</v>
      </c>
      <c r="J421" s="95">
        <f t="shared" ref="J421:J449" si="106">IF($B$20="P",C385,IF($B$20="L",D385,IF($B$20="M",E385)))</f>
        <v>85666119.73199439</v>
      </c>
      <c r="K421" s="95">
        <f t="shared" ref="K421:K450" si="107">IF($B$57="P",K385,IF($B$57="L",L385,IF($B$57="M",M385)))</f>
        <v>79792025.410729811</v>
      </c>
      <c r="L421" s="95">
        <f t="shared" ref="L421:L450" si="108">IF($B$94="P",C422,IF($B$94="L",D422,IF($B$94="M",E422)))</f>
        <v>175107545.2708092</v>
      </c>
      <c r="M421" s="300">
        <f t="shared" ref="M421:M450" si="109">L421-K421-J421</f>
        <v>9649400.1280850023</v>
      </c>
      <c r="N421" s="70"/>
    </row>
    <row r="422" spans="1:14" x14ac:dyDescent="0.25">
      <c r="A422" s="43">
        <v>1</v>
      </c>
      <c r="B422" s="200">
        <f>'N CARRILES HCM'!D78</f>
        <v>500.58000000000004</v>
      </c>
      <c r="C422" s="95">
        <f t="shared" ref="C422:C453" si="110">B422*365*$G$418*L347</f>
        <v>175107545.2708092</v>
      </c>
      <c r="D422" s="95">
        <f t="shared" ref="D422:D453" si="111">B422*365*$G$418*M347</f>
        <v>196640505.00291961</v>
      </c>
      <c r="E422" s="95">
        <f t="shared" ref="E422:E453" si="112">B422*365*$G$418*N347</f>
        <v>242418152.58708602</v>
      </c>
      <c r="I422" s="43">
        <v>2</v>
      </c>
      <c r="J422" s="95">
        <f t="shared" si="106"/>
        <v>88236103.32395421</v>
      </c>
      <c r="K422" s="95">
        <f t="shared" si="107"/>
        <v>82185786.1730517</v>
      </c>
      <c r="L422" s="95">
        <f t="shared" si="108"/>
        <v>180360771.62893349</v>
      </c>
      <c r="M422" s="300">
        <f t="shared" si="109"/>
        <v>9938882.1319275796</v>
      </c>
      <c r="N422" s="70"/>
    </row>
    <row r="423" spans="1:14" x14ac:dyDescent="0.25">
      <c r="A423" s="43">
        <v>2</v>
      </c>
      <c r="B423" s="200">
        <f>'N CARRILES HCM'!D79</f>
        <v>515.59739999999999</v>
      </c>
      <c r="C423" s="95">
        <f t="shared" si="110"/>
        <v>180360771.62893349</v>
      </c>
      <c r="D423" s="95">
        <f t="shared" si="111"/>
        <v>202539720.15300721</v>
      </c>
      <c r="E423" s="95">
        <f t="shared" si="112"/>
        <v>249690697.1646986</v>
      </c>
      <c r="I423" s="43">
        <v>3</v>
      </c>
      <c r="J423" s="95">
        <f t="shared" si="106"/>
        <v>90883186.42367284</v>
      </c>
      <c r="K423" s="95">
        <f t="shared" si="107"/>
        <v>84651359.758243263</v>
      </c>
      <c r="L423" s="95">
        <f t="shared" si="108"/>
        <v>185771594.77780151</v>
      </c>
      <c r="M423" s="300">
        <f t="shared" si="109"/>
        <v>10237048.595885411</v>
      </c>
      <c r="N423" s="70"/>
    </row>
    <row r="424" spans="1:14" x14ac:dyDescent="0.25">
      <c r="A424" s="43">
        <v>3</v>
      </c>
      <c r="B424" s="200">
        <f>'N CARRILES HCM'!D80</f>
        <v>531.06532200000004</v>
      </c>
      <c r="C424" s="95">
        <f t="shared" si="110"/>
        <v>185771594.77780151</v>
      </c>
      <c r="D424" s="95">
        <f t="shared" si="111"/>
        <v>208615911.75759745</v>
      </c>
      <c r="E424" s="95">
        <f t="shared" si="112"/>
        <v>257181418.07963958</v>
      </c>
      <c r="I424" s="43">
        <v>4</v>
      </c>
      <c r="J424" s="95">
        <f t="shared" si="106"/>
        <v>93609682.016383007</v>
      </c>
      <c r="K424" s="95">
        <f t="shared" si="107"/>
        <v>87190900.550990537</v>
      </c>
      <c r="L424" s="95">
        <f t="shared" si="108"/>
        <v>191344742.62113556</v>
      </c>
      <c r="M424" s="300">
        <f t="shared" si="109"/>
        <v>10544160.053762019</v>
      </c>
      <c r="N424" s="70"/>
    </row>
    <row r="425" spans="1:14" x14ac:dyDescent="0.25">
      <c r="A425" s="43">
        <v>4</v>
      </c>
      <c r="B425" s="200">
        <f>'N CARRILES HCM'!D81</f>
        <v>546.99728166</v>
      </c>
      <c r="C425" s="95">
        <f t="shared" si="110"/>
        <v>191344742.62113556</v>
      </c>
      <c r="D425" s="95">
        <f t="shared" si="111"/>
        <v>214874389.11032534</v>
      </c>
      <c r="E425" s="95">
        <f t="shared" si="112"/>
        <v>264896860.62202877</v>
      </c>
      <c r="I425" s="43">
        <v>5</v>
      </c>
      <c r="J425" s="95">
        <f t="shared" si="106"/>
        <v>96417972.476874486</v>
      </c>
      <c r="K425" s="95">
        <f t="shared" si="107"/>
        <v>89806627.567520246</v>
      </c>
      <c r="L425" s="95">
        <f t="shared" si="108"/>
        <v>197085084.89976957</v>
      </c>
      <c r="M425" s="300">
        <f t="shared" si="109"/>
        <v>10860484.855374843</v>
      </c>
      <c r="N425" s="70"/>
    </row>
    <row r="426" spans="1:14" x14ac:dyDescent="0.25">
      <c r="A426" s="43">
        <v>5</v>
      </c>
      <c r="B426" s="200">
        <f>'N CARRILES HCM'!D82</f>
        <v>563.40720010979987</v>
      </c>
      <c r="C426" s="95">
        <f t="shared" si="110"/>
        <v>197085084.89976957</v>
      </c>
      <c r="D426" s="95">
        <f t="shared" si="111"/>
        <v>221320620.78363505</v>
      </c>
      <c r="E426" s="95">
        <f t="shared" si="112"/>
        <v>272843766.44068956</v>
      </c>
      <c r="I426" s="43">
        <v>6</v>
      </c>
      <c r="J426" s="95">
        <f t="shared" si="106"/>
        <v>99310511.651180714</v>
      </c>
      <c r="K426" s="95">
        <f t="shared" si="107"/>
        <v>92500826.394545853</v>
      </c>
      <c r="L426" s="95">
        <f t="shared" si="108"/>
        <v>202997637.44676268</v>
      </c>
      <c r="M426" s="300">
        <f t="shared" si="109"/>
        <v>11186299.401036114</v>
      </c>
      <c r="N426" s="70"/>
    </row>
    <row r="427" spans="1:14" x14ac:dyDescent="0.25">
      <c r="A427" s="43">
        <v>6</v>
      </c>
      <c r="B427" s="200">
        <f>'N CARRILES HCM'!D83</f>
        <v>580.3094161130939</v>
      </c>
      <c r="C427" s="95">
        <f t="shared" si="110"/>
        <v>202997637.44676268</v>
      </c>
      <c r="D427" s="95">
        <f t="shared" si="111"/>
        <v>227960239.40714413</v>
      </c>
      <c r="E427" s="95">
        <f t="shared" si="112"/>
        <v>281029079.43391025</v>
      </c>
      <c r="I427" s="43">
        <v>7</v>
      </c>
      <c r="J427" s="95">
        <f t="shared" si="106"/>
        <v>102289827.00071616</v>
      </c>
      <c r="K427" s="95">
        <f t="shared" si="107"/>
        <v>95275851.186382249</v>
      </c>
      <c r="L427" s="95">
        <f t="shared" si="108"/>
        <v>209087566.57016554</v>
      </c>
      <c r="M427" s="300">
        <f t="shared" si="109"/>
        <v>11521888.383067131</v>
      </c>
      <c r="N427" s="70"/>
    </row>
    <row r="428" spans="1:14" x14ac:dyDescent="0.25">
      <c r="A428" s="43">
        <v>7</v>
      </c>
      <c r="B428" s="200">
        <f>'N CARRILES HCM'!D84</f>
        <v>597.71869859648677</v>
      </c>
      <c r="C428" s="95">
        <f t="shared" si="110"/>
        <v>209087566.57016554</v>
      </c>
      <c r="D428" s="95">
        <f t="shared" si="111"/>
        <v>234799046.58935845</v>
      </c>
      <c r="E428" s="95">
        <f t="shared" si="112"/>
        <v>289459951.81692755</v>
      </c>
      <c r="I428" s="43">
        <v>8</v>
      </c>
      <c r="J428" s="95">
        <f t="shared" si="106"/>
        <v>105358521.81073762</v>
      </c>
      <c r="K428" s="95">
        <f t="shared" si="107"/>
        <v>98134126.721973702</v>
      </c>
      <c r="L428" s="95">
        <f t="shared" si="108"/>
        <v>215360193.56727052</v>
      </c>
      <c r="M428" s="300">
        <f t="shared" si="109"/>
        <v>11867545.03455919</v>
      </c>
      <c r="N428" s="70"/>
    </row>
    <row r="429" spans="1:14" x14ac:dyDescent="0.25">
      <c r="A429" s="43">
        <v>8</v>
      </c>
      <c r="B429" s="200">
        <f>'N CARRILES HCM'!D85</f>
        <v>615.65025955438136</v>
      </c>
      <c r="C429" s="95">
        <f t="shared" si="110"/>
        <v>215360193.56727052</v>
      </c>
      <c r="D429" s="95">
        <f t="shared" si="111"/>
        <v>241843017.98703918</v>
      </c>
      <c r="E429" s="95">
        <f t="shared" si="112"/>
        <v>298143750.3714354</v>
      </c>
      <c r="I429" s="43">
        <v>9</v>
      </c>
      <c r="J429" s="95">
        <f t="shared" si="106"/>
        <v>108519277.46505977</v>
      </c>
      <c r="K429" s="95">
        <f t="shared" si="107"/>
        <v>101078150.52363291</v>
      </c>
      <c r="L429" s="95">
        <f t="shared" si="108"/>
        <v>221820999.37428862</v>
      </c>
      <c r="M429" s="300">
        <f t="shared" si="109"/>
        <v>12223571.385595933</v>
      </c>
      <c r="N429" s="70"/>
    </row>
    <row r="430" spans="1:14" x14ac:dyDescent="0.25">
      <c r="A430" s="43">
        <v>9</v>
      </c>
      <c r="B430" s="200">
        <f>'N CARRILES HCM'!D86</f>
        <v>634.11976734101279</v>
      </c>
      <c r="C430" s="95">
        <f t="shared" si="110"/>
        <v>221820999.37428862</v>
      </c>
      <c r="D430" s="95">
        <f t="shared" si="111"/>
        <v>249098308.52665037</v>
      </c>
      <c r="E430" s="95">
        <f t="shared" si="112"/>
        <v>307088062.88257843</v>
      </c>
      <c r="I430" s="43">
        <v>10</v>
      </c>
      <c r="J430" s="95">
        <f t="shared" si="106"/>
        <v>111774855.78901157</v>
      </c>
      <c r="K430" s="95">
        <f t="shared" si="107"/>
        <v>104110495.0393419</v>
      </c>
      <c r="L430" s="95">
        <f t="shared" si="108"/>
        <v>228475629.3555173</v>
      </c>
      <c r="M430" s="300">
        <f t="shared" si="109"/>
        <v>12590278.527163833</v>
      </c>
      <c r="N430" s="70"/>
    </row>
    <row r="431" spans="1:14" x14ac:dyDescent="0.25">
      <c r="A431" s="43">
        <v>10</v>
      </c>
      <c r="B431" s="200">
        <f>'N CARRILES HCM'!D87</f>
        <v>653.14336036124314</v>
      </c>
      <c r="C431" s="95">
        <f t="shared" si="110"/>
        <v>228475629.3555173</v>
      </c>
      <c r="D431" s="95">
        <f t="shared" si="111"/>
        <v>256571257.7824499</v>
      </c>
      <c r="E431" s="95">
        <f t="shared" si="112"/>
        <v>316300704.76905584</v>
      </c>
      <c r="I431" s="43">
        <v>11</v>
      </c>
      <c r="J431" s="95">
        <f t="shared" si="106"/>
        <v>115128101.4626819</v>
      </c>
      <c r="K431" s="95">
        <f t="shared" si="107"/>
        <v>107233809.89052217</v>
      </c>
      <c r="L431" s="95">
        <f t="shared" si="108"/>
        <v>235329898.23618284</v>
      </c>
      <c r="M431" s="300">
        <f t="shared" si="109"/>
        <v>12967986.882978767</v>
      </c>
      <c r="N431" s="70"/>
    </row>
    <row r="432" spans="1:14" x14ac:dyDescent="0.25">
      <c r="A432" s="43">
        <v>11</v>
      </c>
      <c r="B432" s="200">
        <f>'N CARRILES HCM'!D88</f>
        <v>672.73766117208049</v>
      </c>
      <c r="C432" s="95">
        <f t="shared" si="110"/>
        <v>235329898.23618284</v>
      </c>
      <c r="D432" s="95">
        <f t="shared" si="111"/>
        <v>264268395.51592341</v>
      </c>
      <c r="E432" s="95">
        <f t="shared" si="112"/>
        <v>325789725.91212755</v>
      </c>
      <c r="I432" s="43">
        <v>12</v>
      </c>
      <c r="J432" s="95">
        <f t="shared" si="106"/>
        <v>118581944.50656234</v>
      </c>
      <c r="K432" s="95">
        <f t="shared" si="107"/>
        <v>110450824.18723781</v>
      </c>
      <c r="L432" s="95">
        <f t="shared" si="108"/>
        <v>253515597.32446033</v>
      </c>
      <c r="M432" s="300">
        <f t="shared" si="109"/>
        <v>24482828.630660191</v>
      </c>
      <c r="N432" s="70"/>
    </row>
    <row r="433" spans="1:14" x14ac:dyDescent="0.25">
      <c r="A433" s="43">
        <v>12</v>
      </c>
      <c r="B433" s="200">
        <f>'N CARRILES HCM'!D89</f>
        <v>692.91979100724279</v>
      </c>
      <c r="C433" s="95">
        <f t="shared" si="110"/>
        <v>253515597.32446033</v>
      </c>
      <c r="D433" s="95">
        <f t="shared" si="111"/>
        <v>272196447.38140106</v>
      </c>
      <c r="E433" s="95">
        <f t="shared" si="112"/>
        <v>335563417.68949127</v>
      </c>
      <c r="I433" s="43">
        <v>13</v>
      </c>
      <c r="J433" s="95">
        <f t="shared" si="106"/>
        <v>122139402.84175922</v>
      </c>
      <c r="K433" s="95">
        <f t="shared" si="107"/>
        <v>113764348.91285494</v>
      </c>
      <c r="L433" s="95">
        <f t="shared" si="108"/>
        <v>261121065.24419409</v>
      </c>
      <c r="M433" s="300">
        <f t="shared" si="109"/>
        <v>25217313.489579931</v>
      </c>
      <c r="N433" s="70"/>
    </row>
    <row r="434" spans="1:14" x14ac:dyDescent="0.25">
      <c r="A434" s="43">
        <v>13</v>
      </c>
      <c r="B434" s="200">
        <f>'N CARRILES HCM'!D90</f>
        <v>713.70738473746007</v>
      </c>
      <c r="C434" s="95">
        <f t="shared" si="110"/>
        <v>261121065.24419409</v>
      </c>
      <c r="D434" s="95">
        <f t="shared" si="111"/>
        <v>280362340.80284303</v>
      </c>
      <c r="E434" s="95">
        <f t="shared" si="112"/>
        <v>345630320.22017598</v>
      </c>
      <c r="I434" s="43">
        <v>14</v>
      </c>
      <c r="J434" s="95">
        <f t="shared" si="106"/>
        <v>128575666.85496466</v>
      </c>
      <c r="K434" s="95">
        <f t="shared" si="107"/>
        <v>117177279.38024059</v>
      </c>
      <c r="L434" s="95">
        <f t="shared" si="108"/>
        <v>268954697.20151997</v>
      </c>
      <c r="M434" s="300">
        <f t="shared" si="109"/>
        <v>23201750.966314718</v>
      </c>
      <c r="N434" s="70"/>
    </row>
    <row r="435" spans="1:14" x14ac:dyDescent="0.25">
      <c r="A435" s="43">
        <v>14</v>
      </c>
      <c r="B435" s="200">
        <f>'N CARRILES HCM'!D91</f>
        <v>735.1186062795839</v>
      </c>
      <c r="C435" s="95">
        <f t="shared" si="110"/>
        <v>268954697.20151997</v>
      </c>
      <c r="D435" s="95">
        <f t="shared" si="111"/>
        <v>288773211.02692842</v>
      </c>
      <c r="E435" s="95">
        <f t="shared" si="112"/>
        <v>355999229.82678133</v>
      </c>
      <c r="I435" s="43">
        <v>15</v>
      </c>
      <c r="J435" s="95">
        <f t="shared" si="106"/>
        <v>132432936.86061358</v>
      </c>
      <c r="K435" s="95">
        <f t="shared" si="107"/>
        <v>120692597.76164782</v>
      </c>
      <c r="L435" s="95">
        <f t="shared" si="108"/>
        <v>277023338.11756557</v>
      </c>
      <c r="M435" s="300">
        <f t="shared" si="109"/>
        <v>23897803.495304167</v>
      </c>
      <c r="N435" s="70"/>
    </row>
    <row r="436" spans="1:14" x14ac:dyDescent="0.25">
      <c r="A436" s="43">
        <v>15</v>
      </c>
      <c r="B436" s="200">
        <f>'N CARRILES HCM'!D92</f>
        <v>757.17216446797147</v>
      </c>
      <c r="C436" s="95">
        <f t="shared" si="110"/>
        <v>277023338.11756557</v>
      </c>
      <c r="D436" s="95">
        <f t="shared" si="111"/>
        <v>297436407.35773629</v>
      </c>
      <c r="E436" s="95">
        <f t="shared" si="112"/>
        <v>366679206.7215848</v>
      </c>
      <c r="I436" s="43">
        <v>16</v>
      </c>
      <c r="J436" s="95">
        <f t="shared" si="106"/>
        <v>136405924.96643201</v>
      </c>
      <c r="K436" s="95">
        <f t="shared" si="107"/>
        <v>124313375.69449723</v>
      </c>
      <c r="L436" s="95">
        <f t="shared" si="108"/>
        <v>285334038.26109248</v>
      </c>
      <c r="M436" s="300">
        <f t="shared" si="109"/>
        <v>24614737.600163251</v>
      </c>
      <c r="N436" s="70"/>
    </row>
    <row r="437" spans="1:14" x14ac:dyDescent="0.25">
      <c r="A437" s="43">
        <v>16</v>
      </c>
      <c r="B437" s="200">
        <f>'N CARRILES HCM'!D93</f>
        <v>779.88732940201055</v>
      </c>
      <c r="C437" s="95">
        <f t="shared" si="110"/>
        <v>285334038.26109248</v>
      </c>
      <c r="D437" s="95">
        <f t="shared" si="111"/>
        <v>306359499.57846826</v>
      </c>
      <c r="E437" s="95">
        <f t="shared" si="112"/>
        <v>377679582.9232322</v>
      </c>
      <c r="I437" s="43">
        <v>17</v>
      </c>
      <c r="J437" s="95">
        <f t="shared" si="106"/>
        <v>140498102.71542495</v>
      </c>
      <c r="K437" s="95">
        <f t="shared" si="107"/>
        <v>128042776.96533215</v>
      </c>
      <c r="L437" s="95">
        <f t="shared" si="108"/>
        <v>293894059.40892524</v>
      </c>
      <c r="M437" s="300">
        <f t="shared" si="109"/>
        <v>25353179.72816813</v>
      </c>
      <c r="N437" s="70"/>
    </row>
    <row r="438" spans="1:14" x14ac:dyDescent="0.25">
      <c r="A438" s="43">
        <v>17</v>
      </c>
      <c r="B438" s="200">
        <f>'N CARRILES HCM'!D94</f>
        <v>803.28394928407079</v>
      </c>
      <c r="C438" s="95">
        <f t="shared" si="110"/>
        <v>293894059.40892524</v>
      </c>
      <c r="D438" s="95">
        <f t="shared" si="111"/>
        <v>315550284.5658223</v>
      </c>
      <c r="E438" s="95">
        <f t="shared" si="112"/>
        <v>389009970.4109292</v>
      </c>
      <c r="I438" s="43">
        <v>18</v>
      </c>
      <c r="J438" s="95">
        <f t="shared" si="106"/>
        <v>144713045.79688773</v>
      </c>
      <c r="K438" s="95">
        <f t="shared" si="107"/>
        <v>131884060.27429214</v>
      </c>
      <c r="L438" s="95">
        <f t="shared" si="108"/>
        <v>302710881.1911931</v>
      </c>
      <c r="M438" s="300">
        <f t="shared" si="109"/>
        <v>26113775.120013237</v>
      </c>
      <c r="N438" s="70"/>
    </row>
    <row r="439" spans="1:14" x14ac:dyDescent="0.25">
      <c r="A439" s="43">
        <v>18</v>
      </c>
      <c r="B439" s="200">
        <f>'N CARRILES HCM'!D95</f>
        <v>827.38246776259302</v>
      </c>
      <c r="C439" s="95">
        <f t="shared" si="110"/>
        <v>302710881.1911931</v>
      </c>
      <c r="D439" s="95">
        <f t="shared" si="111"/>
        <v>325016793.10279709</v>
      </c>
      <c r="E439" s="95">
        <f t="shared" si="112"/>
        <v>400680269.5232572</v>
      </c>
      <c r="I439" s="43">
        <v>19</v>
      </c>
      <c r="J439" s="95">
        <f t="shared" si="106"/>
        <v>149054437.17079434</v>
      </c>
      <c r="K439" s="95">
        <f t="shared" si="107"/>
        <v>135840582.0825209</v>
      </c>
      <c r="L439" s="95">
        <f t="shared" si="108"/>
        <v>311792207.62692887</v>
      </c>
      <c r="M439" s="300">
        <f t="shared" si="109"/>
        <v>26897188.373613626</v>
      </c>
      <c r="N439" s="70"/>
    </row>
    <row r="440" spans="1:14" x14ac:dyDescent="0.25">
      <c r="A440" s="43">
        <v>19</v>
      </c>
      <c r="B440" s="200">
        <f>'N CARRILES HCM'!D96</f>
        <v>852.20394179547077</v>
      </c>
      <c r="C440" s="95">
        <f t="shared" si="110"/>
        <v>311792207.62692887</v>
      </c>
      <c r="D440" s="95">
        <f t="shared" si="111"/>
        <v>334767296.89588094</v>
      </c>
      <c r="E440" s="95">
        <f t="shared" si="112"/>
        <v>412700677.60895485</v>
      </c>
      <c r="I440" s="43">
        <v>20</v>
      </c>
      <c r="J440" s="95">
        <f t="shared" si="106"/>
        <v>153526070.28591815</v>
      </c>
      <c r="K440" s="95">
        <f t="shared" si="107"/>
        <v>139915799.5449965</v>
      </c>
      <c r="L440" s="95">
        <f t="shared" si="108"/>
        <v>321145973.85573667</v>
      </c>
      <c r="M440" s="300">
        <f t="shared" si="109"/>
        <v>27704104.024822026</v>
      </c>
      <c r="N440" s="70"/>
    </row>
    <row r="441" spans="1:14" x14ac:dyDescent="0.25">
      <c r="A441" s="43">
        <v>20</v>
      </c>
      <c r="B441" s="200">
        <f>'N CARRILES HCM'!D97</f>
        <v>877.7700600493348</v>
      </c>
      <c r="C441" s="95">
        <f t="shared" si="110"/>
        <v>321145973.85573667</v>
      </c>
      <c r="D441" s="95">
        <f t="shared" si="111"/>
        <v>344810315.80275732</v>
      </c>
      <c r="E441" s="95">
        <f t="shared" si="112"/>
        <v>425081697.93722343</v>
      </c>
      <c r="I441" s="43">
        <v>21</v>
      </c>
      <c r="J441" s="95">
        <f t="shared" si="106"/>
        <v>158131852.39449567</v>
      </c>
      <c r="K441" s="95">
        <f t="shared" si="107"/>
        <v>144113273.53134638</v>
      </c>
      <c r="L441" s="95">
        <f t="shared" si="108"/>
        <v>330780353.07140875</v>
      </c>
      <c r="M441" s="300">
        <f t="shared" si="109"/>
        <v>28535227.145566702</v>
      </c>
      <c r="N441" s="70"/>
    </row>
    <row r="442" spans="1:14" x14ac:dyDescent="0.25">
      <c r="A442" s="43">
        <v>21</v>
      </c>
      <c r="B442" s="200">
        <f>'N CARRILES HCM'!D98</f>
        <v>904.10316185081479</v>
      </c>
      <c r="C442" s="95">
        <f t="shared" si="110"/>
        <v>330780353.07140875</v>
      </c>
      <c r="D442" s="95">
        <f t="shared" si="111"/>
        <v>355154625.27684003</v>
      </c>
      <c r="E442" s="95">
        <f t="shared" si="112"/>
        <v>437834148.8753401</v>
      </c>
      <c r="I442" s="43">
        <v>22</v>
      </c>
      <c r="J442" s="95">
        <f t="shared" si="106"/>
        <v>162875807.96633056</v>
      </c>
      <c r="K442" s="95">
        <f t="shared" si="107"/>
        <v>148436671.73728681</v>
      </c>
      <c r="L442" s="95">
        <f t="shared" si="108"/>
        <v>340703763.66355103</v>
      </c>
      <c r="M442" s="300">
        <f t="shared" si="109"/>
        <v>29391283.959933668</v>
      </c>
      <c r="N442" s="70"/>
    </row>
    <row r="443" spans="1:14" x14ac:dyDescent="0.25">
      <c r="A443" s="43">
        <v>22</v>
      </c>
      <c r="B443" s="200">
        <f>'N CARRILES HCM'!D99</f>
        <v>931.22625670633931</v>
      </c>
      <c r="C443" s="95">
        <f t="shared" si="110"/>
        <v>340703763.66355103</v>
      </c>
      <c r="D443" s="95">
        <f t="shared" si="111"/>
        <v>365809264.03514528</v>
      </c>
      <c r="E443" s="95">
        <f t="shared" si="112"/>
        <v>450969173.34160036</v>
      </c>
      <c r="I443" s="43">
        <v>23</v>
      </c>
      <c r="J443" s="95">
        <f t="shared" si="106"/>
        <v>167762082.20532051</v>
      </c>
      <c r="K443" s="95">
        <f t="shared" si="107"/>
        <v>152889771.88940543</v>
      </c>
      <c r="L443" s="95">
        <f t="shared" si="108"/>
        <v>350924876.5734576</v>
      </c>
      <c r="M443" s="300">
        <f t="shared" si="109"/>
        <v>30273022.478731662</v>
      </c>
      <c r="N443" s="70"/>
    </row>
    <row r="444" spans="1:14" x14ac:dyDescent="0.25">
      <c r="A444" s="43">
        <v>23</v>
      </c>
      <c r="B444" s="200">
        <f>'N CARRILES HCM'!D100</f>
        <v>959.16304440752958</v>
      </c>
      <c r="C444" s="95">
        <f t="shared" si="110"/>
        <v>350924876.5734576</v>
      </c>
      <c r="D444" s="95">
        <f t="shared" si="111"/>
        <v>376783541.95619965</v>
      </c>
      <c r="E444" s="95">
        <f t="shared" si="112"/>
        <v>464498248.54184836</v>
      </c>
      <c r="I444" s="43">
        <v>24</v>
      </c>
      <c r="J444" s="95">
        <f t="shared" si="106"/>
        <v>172794944.67148009</v>
      </c>
      <c r="K444" s="95">
        <f t="shared" si="107"/>
        <v>157476465.04608756</v>
      </c>
      <c r="L444" s="95">
        <f t="shared" si="108"/>
        <v>361452622.87066126</v>
      </c>
      <c r="M444" s="300">
        <f t="shared" si="109"/>
        <v>31181213.153093606</v>
      </c>
      <c r="N444" s="70"/>
    </row>
    <row r="445" spans="1:14" x14ac:dyDescent="0.25">
      <c r="A445" s="43">
        <v>24</v>
      </c>
      <c r="B445" s="200">
        <f>'N CARRILES HCM'!D101</f>
        <v>987.93793573975529</v>
      </c>
      <c r="C445" s="95">
        <f t="shared" si="110"/>
        <v>361452622.87066126</v>
      </c>
      <c r="D445" s="95">
        <f t="shared" si="111"/>
        <v>388087048.21488559</v>
      </c>
      <c r="E445" s="95">
        <f t="shared" si="112"/>
        <v>478433195.9981038</v>
      </c>
      <c r="I445" s="43">
        <v>25</v>
      </c>
      <c r="J445" s="95">
        <f t="shared" si="106"/>
        <v>177978793.01162449</v>
      </c>
      <c r="K445" s="95">
        <f t="shared" si="107"/>
        <v>162200758.99747017</v>
      </c>
      <c r="L445" s="95">
        <f t="shared" si="108"/>
        <v>372296201.55678111</v>
      </c>
      <c r="M445" s="300">
        <f t="shared" si="109"/>
        <v>32116649.547686458</v>
      </c>
      <c r="N445" s="70"/>
    </row>
    <row r="446" spans="1:14" x14ac:dyDescent="0.25">
      <c r="A446" s="43">
        <v>25</v>
      </c>
      <c r="B446" s="200">
        <f>'N CARRILES HCM'!D102</f>
        <v>1017.5760738119479</v>
      </c>
      <c r="C446" s="95">
        <f t="shared" si="110"/>
        <v>372296201.55678111</v>
      </c>
      <c r="D446" s="95">
        <f t="shared" si="111"/>
        <v>399729659.66133219</v>
      </c>
      <c r="E446" s="95">
        <f t="shared" si="112"/>
        <v>492786191.87804693</v>
      </c>
      <c r="I446" s="43">
        <v>26</v>
      </c>
      <c r="J446" s="95">
        <f t="shared" si="106"/>
        <v>183318156.80197325</v>
      </c>
      <c r="K446" s="95">
        <f t="shared" si="107"/>
        <v>167066781.7673943</v>
      </c>
      <c r="L446" s="95">
        <f t="shared" si="108"/>
        <v>383465087.60348457</v>
      </c>
      <c r="M446" s="300">
        <f t="shared" si="109"/>
        <v>33080149.034117013</v>
      </c>
      <c r="N446" s="70"/>
    </row>
    <row r="447" spans="1:14" x14ac:dyDescent="0.25">
      <c r="A447" s="43">
        <v>26</v>
      </c>
      <c r="B447" s="200">
        <f>'N CARRILES HCM'!D103</f>
        <v>1048.1033560263065</v>
      </c>
      <c r="C447" s="95">
        <f t="shared" si="110"/>
        <v>383465087.60348457</v>
      </c>
      <c r="D447" s="95">
        <f t="shared" si="111"/>
        <v>411721549.45117217</v>
      </c>
      <c r="E447" s="95">
        <f t="shared" si="112"/>
        <v>507569777.63438833</v>
      </c>
      <c r="I447" s="43">
        <v>27</v>
      </c>
      <c r="J447" s="95">
        <f t="shared" si="106"/>
        <v>188817701.50603241</v>
      </c>
      <c r="K447" s="95">
        <f t="shared" si="107"/>
        <v>172078785.2204161</v>
      </c>
      <c r="L447" s="95">
        <f t="shared" si="108"/>
        <v>394969040.23158908</v>
      </c>
      <c r="M447" s="300">
        <f t="shared" si="109"/>
        <v>34072553.505140573</v>
      </c>
      <c r="N447" s="70"/>
    </row>
    <row r="448" spans="1:14" x14ac:dyDescent="0.25">
      <c r="A448" s="43">
        <v>27</v>
      </c>
      <c r="B448" s="200">
        <f>'N CARRILES HCM'!D104</f>
        <v>1079.5464567070956</v>
      </c>
      <c r="C448" s="95">
        <f t="shared" si="110"/>
        <v>394969040.23158908</v>
      </c>
      <c r="D448" s="95">
        <f t="shared" si="111"/>
        <v>424073195.93470728</v>
      </c>
      <c r="E448" s="95">
        <f t="shared" si="112"/>
        <v>522796870.96341991</v>
      </c>
      <c r="I448" s="43">
        <v>28</v>
      </c>
      <c r="J448" s="95">
        <f t="shared" si="106"/>
        <v>194482232.55121341</v>
      </c>
      <c r="K448" s="95">
        <f t="shared" si="107"/>
        <v>177241148.77702859</v>
      </c>
      <c r="L448" s="95">
        <f t="shared" si="108"/>
        <v>406818111.43853676</v>
      </c>
      <c r="M448" s="300">
        <f t="shared" si="109"/>
        <v>35094730.110294759</v>
      </c>
      <c r="N448" s="70"/>
    </row>
    <row r="449" spans="1:14" x14ac:dyDescent="0.25">
      <c r="A449" s="43">
        <v>28</v>
      </c>
      <c r="B449" s="200">
        <f>'N CARRILES HCM'!D105</f>
        <v>1111.9328504083085</v>
      </c>
      <c r="C449" s="95">
        <f t="shared" si="110"/>
        <v>406818111.43853676</v>
      </c>
      <c r="D449" s="95">
        <f t="shared" si="111"/>
        <v>436795391.81274855</v>
      </c>
      <c r="E449" s="95">
        <f t="shared" si="112"/>
        <v>538480777.09232259</v>
      </c>
      <c r="I449" s="43">
        <v>29</v>
      </c>
      <c r="J449" s="95">
        <f t="shared" si="106"/>
        <v>200316699.52774981</v>
      </c>
      <c r="K449" s="95">
        <f t="shared" si="107"/>
        <v>182558383.24033943</v>
      </c>
      <c r="L449" s="95">
        <f t="shared" si="108"/>
        <v>419022654.7816928</v>
      </c>
      <c r="M449" s="300">
        <f t="shared" si="109"/>
        <v>36147572.013603568</v>
      </c>
      <c r="N449" s="70"/>
    </row>
    <row r="450" spans="1:14" x14ac:dyDescent="0.25">
      <c r="A450" s="43">
        <v>29</v>
      </c>
      <c r="B450" s="200">
        <f>'N CARRILES HCM'!D106</f>
        <v>1145.2908359205576</v>
      </c>
      <c r="C450" s="95">
        <f t="shared" si="110"/>
        <v>419022654.7816928</v>
      </c>
      <c r="D450" s="95">
        <f t="shared" si="111"/>
        <v>449899253.56713086</v>
      </c>
      <c r="E450" s="95">
        <f t="shared" si="112"/>
        <v>554635200.40509212</v>
      </c>
      <c r="I450" s="43">
        <v>30</v>
      </c>
      <c r="J450" s="95">
        <f>IF($B$20="P",C414,IF($B$20="L",D414,IF($B$20="M",E414)))</f>
        <v>206326200.51358229</v>
      </c>
      <c r="K450" s="95">
        <f t="shared" si="107"/>
        <v>188035134.73754963</v>
      </c>
      <c r="L450" s="95">
        <f t="shared" si="108"/>
        <v>431593334.4251436</v>
      </c>
      <c r="M450" s="300">
        <f t="shared" si="109"/>
        <v>37231999.174011678</v>
      </c>
      <c r="N450" s="70"/>
    </row>
    <row r="451" spans="1:14" x14ac:dyDescent="0.25">
      <c r="A451" s="43">
        <v>30</v>
      </c>
      <c r="B451" s="200">
        <f>'N CARRILES HCM'!D107</f>
        <v>1179.6495609981744</v>
      </c>
      <c r="C451" s="95">
        <f t="shared" si="110"/>
        <v>431593334.4251436</v>
      </c>
      <c r="D451" s="95">
        <f t="shared" si="111"/>
        <v>463396231.1741448</v>
      </c>
      <c r="E451" s="95">
        <f t="shared" si="112"/>
        <v>571274256.41724491</v>
      </c>
      <c r="I451" s="43">
        <v>31</v>
      </c>
      <c r="J451" s="95">
        <f>IF($B$20="P",C415,IF($B$20="L",D415,IF($B$20="M",E415)))</f>
        <v>212515986.52898976</v>
      </c>
      <c r="K451" s="95">
        <f>IF($B$57="P",K415,IF($B$57="L",L415,IF($B$57="M",M415)))</f>
        <v>193676188.77967614</v>
      </c>
      <c r="L451" s="95">
        <f>IF($B$94="P",C452,IF($B$94="L",D452,IF($B$94="M",E452)))</f>
        <v>444541134.45789796</v>
      </c>
      <c r="M451" s="300">
        <f>L451-K451-J451</f>
        <v>38348959.14923206</v>
      </c>
    </row>
    <row r="452" spans="1:14" x14ac:dyDescent="0.25">
      <c r="A452" s="43">
        <v>31</v>
      </c>
      <c r="B452" s="200">
        <f>'N CARRILES HCM'!D108</f>
        <v>1215.0390478281197</v>
      </c>
      <c r="C452" s="95">
        <f t="shared" si="110"/>
        <v>444541134.45789796</v>
      </c>
      <c r="D452" s="95">
        <f t="shared" si="111"/>
        <v>477298118.10936922</v>
      </c>
      <c r="E452" s="95">
        <f t="shared" si="112"/>
        <v>588412484.10976231</v>
      </c>
      <c r="I452" s="43">
        <v>32</v>
      </c>
      <c r="J452" s="95">
        <f>IF($B$20="P",C416,IF($B$20="L",D416,IF($B$20="M",E416)))</f>
        <v>218891466.12485945</v>
      </c>
      <c r="K452" s="95">
        <f>IF($B$57="P",K416,IF($B$57="L",L416,IF($B$57="M",M416)))</f>
        <v>199486474.44306639</v>
      </c>
      <c r="L452" s="95">
        <f>IF($B$94="P",C453,IF($B$94="L",D453,IF($B$94="M",E453)))</f>
        <v>457877368.49163485</v>
      </c>
      <c r="M452" s="300">
        <f>L452-K452-J452</f>
        <v>39499427.923709005</v>
      </c>
    </row>
    <row r="453" spans="1:14" x14ac:dyDescent="0.25">
      <c r="A453" s="43">
        <v>32</v>
      </c>
      <c r="B453" s="200">
        <f>'N CARRILES HCM'!D109</f>
        <v>1251.4902192629631</v>
      </c>
      <c r="C453" s="95">
        <f t="shared" si="110"/>
        <v>457877368.49163485</v>
      </c>
      <c r="D453" s="95">
        <f t="shared" si="111"/>
        <v>491617061.65265024</v>
      </c>
      <c r="E453" s="95">
        <f t="shared" si="112"/>
        <v>606064858.63305509</v>
      </c>
    </row>
    <row r="454" spans="1:14" x14ac:dyDescent="0.25">
      <c r="A454" t="s">
        <v>271</v>
      </c>
    </row>
    <row r="456" spans="1:14" x14ac:dyDescent="0.25">
      <c r="A456" s="239" t="s">
        <v>261</v>
      </c>
      <c r="B456" s="239"/>
      <c r="C456" s="239"/>
      <c r="D456" s="239"/>
      <c r="E456" s="239"/>
    </row>
    <row r="457" spans="1:14" x14ac:dyDescent="0.25">
      <c r="A457" t="s">
        <v>243</v>
      </c>
      <c r="I457" t="s">
        <v>529</v>
      </c>
    </row>
    <row r="458" spans="1:14" x14ac:dyDescent="0.25">
      <c r="C458" s="569" t="s">
        <v>246</v>
      </c>
      <c r="D458" s="569"/>
      <c r="E458" s="569"/>
      <c r="J458" s="30" t="s">
        <v>246</v>
      </c>
      <c r="K458" s="30"/>
      <c r="L458" s="570" t="s">
        <v>250</v>
      </c>
      <c r="M458" s="571"/>
    </row>
    <row r="459" spans="1:14" x14ac:dyDescent="0.25">
      <c r="A459" s="43" t="s">
        <v>18</v>
      </c>
      <c r="B459" s="43" t="s">
        <v>263</v>
      </c>
      <c r="C459" s="298" t="s">
        <v>233</v>
      </c>
      <c r="D459" s="298" t="s">
        <v>234</v>
      </c>
      <c r="E459" s="298" t="s">
        <v>235</v>
      </c>
      <c r="I459" s="43" t="s">
        <v>18</v>
      </c>
      <c r="J459" s="270" t="s">
        <v>531</v>
      </c>
      <c r="K459" s="270" t="s">
        <v>90</v>
      </c>
      <c r="L459" s="572"/>
      <c r="M459" s="573"/>
    </row>
    <row r="460" spans="1:14" ht="15" customHeight="1" x14ac:dyDescent="0.25">
      <c r="A460" s="43">
        <v>0</v>
      </c>
      <c r="B460" s="69">
        <f>J384</f>
        <v>243</v>
      </c>
      <c r="C460" s="95">
        <f>B460*365*$G$207*L346</f>
        <v>85003662.752820015</v>
      </c>
      <c r="D460" s="95">
        <f>B460*365*$G$207*M346</f>
        <v>95456555.826660007</v>
      </c>
      <c r="E460" s="95">
        <f>B460*365*$G$207*N346</f>
        <v>117678714.84810001</v>
      </c>
      <c r="I460" s="43">
        <v>0</v>
      </c>
      <c r="J460" s="200">
        <f>IF($B$20="P",C460,IF($B$20="L",D460,IF($B$20="M",E460)))</f>
        <v>85003662.752820015</v>
      </c>
      <c r="K460" s="200">
        <f>K420</f>
        <v>77467985.835660011</v>
      </c>
      <c r="L460" s="324">
        <f>J460-K460</f>
        <v>7535676.9171600044</v>
      </c>
      <c r="M460" s="70"/>
    </row>
    <row r="461" spans="1:14" x14ac:dyDescent="0.25">
      <c r="A461" s="43">
        <v>1</v>
      </c>
      <c r="B461" s="69">
        <f t="shared" ref="B461:B492" si="113">J385</f>
        <v>250.29000000000002</v>
      </c>
      <c r="C461" s="95">
        <f t="shared" ref="C461:C492" si="114">B461*365*$G$207*L347</f>
        <v>87553772.635404602</v>
      </c>
      <c r="D461" s="95">
        <f t="shared" ref="D461:D492" si="115">B461*365*$G$207*M347</f>
        <v>98320252.501459807</v>
      </c>
      <c r="E461" s="95">
        <f t="shared" ref="E461:E492" si="116">B461*365*$G$207*N347</f>
        <v>121209076.29354301</v>
      </c>
      <c r="I461" s="43">
        <v>1</v>
      </c>
      <c r="J461" s="200">
        <f t="shared" ref="J461:J492" si="117">IF($B$20="P",C461,IF($B$20="L",D461,IF($B$20="M",E461)))</f>
        <v>87553772.635404602</v>
      </c>
      <c r="K461" s="200">
        <f t="shared" ref="K461:K492" si="118">K421</f>
        <v>79792025.410729811</v>
      </c>
      <c r="L461" s="324">
        <f t="shared" ref="L461:L492" si="119">J461-K461</f>
        <v>7761747.2246747911</v>
      </c>
      <c r="M461" s="70"/>
    </row>
    <row r="462" spans="1:14" x14ac:dyDescent="0.25">
      <c r="A462" s="43">
        <v>2</v>
      </c>
      <c r="B462" s="69">
        <f t="shared" si="113"/>
        <v>257.7987</v>
      </c>
      <c r="C462" s="95">
        <f t="shared" si="114"/>
        <v>90180385.814466745</v>
      </c>
      <c r="D462" s="95">
        <f t="shared" si="115"/>
        <v>101269860.0765036</v>
      </c>
      <c r="E462" s="95">
        <f t="shared" si="116"/>
        <v>124845348.5823493</v>
      </c>
      <c r="I462" s="43">
        <v>2</v>
      </c>
      <c r="J462" s="200">
        <f t="shared" si="117"/>
        <v>90180385.814466745</v>
      </c>
      <c r="K462" s="200">
        <f t="shared" si="118"/>
        <v>82185786.1730517</v>
      </c>
      <c r="L462" s="324">
        <f t="shared" si="119"/>
        <v>7994599.6414150447</v>
      </c>
      <c r="M462" s="70"/>
    </row>
    <row r="463" spans="1:14" x14ac:dyDescent="0.25">
      <c r="A463" s="43">
        <v>3</v>
      </c>
      <c r="B463" s="69">
        <f t="shared" si="113"/>
        <v>265.53266100000002</v>
      </c>
      <c r="C463" s="95">
        <f t="shared" si="114"/>
        <v>92885797.388900757</v>
      </c>
      <c r="D463" s="95">
        <f t="shared" si="115"/>
        <v>104307955.87879872</v>
      </c>
      <c r="E463" s="95">
        <f t="shared" si="116"/>
        <v>128590709.03981979</v>
      </c>
      <c r="I463" s="43">
        <v>3</v>
      </c>
      <c r="J463" s="200">
        <f t="shared" si="117"/>
        <v>92885797.388900757</v>
      </c>
      <c r="K463" s="200">
        <f t="shared" si="118"/>
        <v>84651359.758243263</v>
      </c>
      <c r="L463" s="324">
        <f t="shared" si="119"/>
        <v>8234437.6306574941</v>
      </c>
      <c r="M463" s="70"/>
    </row>
    <row r="464" spans="1:14" x14ac:dyDescent="0.25">
      <c r="A464" s="43">
        <v>4</v>
      </c>
      <c r="B464" s="69">
        <f t="shared" si="113"/>
        <v>273.49864083</v>
      </c>
      <c r="C464" s="95">
        <f t="shared" si="114"/>
        <v>95672371.310567781</v>
      </c>
      <c r="D464" s="95">
        <f t="shared" si="115"/>
        <v>107437194.55516267</v>
      </c>
      <c r="E464" s="95">
        <f t="shared" si="116"/>
        <v>132448430.31101438</v>
      </c>
      <c r="I464" s="43">
        <v>4</v>
      </c>
      <c r="J464" s="200">
        <f t="shared" si="117"/>
        <v>95672371.310567781</v>
      </c>
      <c r="K464" s="200">
        <f t="shared" si="118"/>
        <v>87190900.550990537</v>
      </c>
      <c r="L464" s="324">
        <f t="shared" si="119"/>
        <v>8481470.7595772445</v>
      </c>
      <c r="M464" s="70"/>
    </row>
    <row r="465" spans="1:13" x14ac:dyDescent="0.25">
      <c r="A465" s="43">
        <v>5</v>
      </c>
      <c r="B465" s="69">
        <f t="shared" si="113"/>
        <v>281.70360005489994</v>
      </c>
      <c r="C465" s="95">
        <f t="shared" si="114"/>
        <v>98542542.449884787</v>
      </c>
      <c r="D465" s="95">
        <f t="shared" si="115"/>
        <v>110660310.39181753</v>
      </c>
      <c r="E465" s="95">
        <f t="shared" si="116"/>
        <v>136421883.22034478</v>
      </c>
      <c r="I465" s="43">
        <v>5</v>
      </c>
      <c r="J465" s="200">
        <f t="shared" si="117"/>
        <v>98542542.449884787</v>
      </c>
      <c r="K465" s="200">
        <f t="shared" si="118"/>
        <v>89806627.567520246</v>
      </c>
      <c r="L465" s="324">
        <f t="shared" si="119"/>
        <v>8735914.8823645413</v>
      </c>
      <c r="M465" s="70"/>
    </row>
    <row r="466" spans="1:13" x14ac:dyDescent="0.25">
      <c r="A466" s="43">
        <v>6</v>
      </c>
      <c r="B466" s="69">
        <f t="shared" si="113"/>
        <v>290.15470805654695</v>
      </c>
      <c r="C466" s="95">
        <f t="shared" si="114"/>
        <v>101498818.72338134</v>
      </c>
      <c r="D466" s="95">
        <f t="shared" si="115"/>
        <v>113980119.70357206</v>
      </c>
      <c r="E466" s="95">
        <f t="shared" si="116"/>
        <v>140514539.71695513</v>
      </c>
      <c r="I466" s="43">
        <v>6</v>
      </c>
      <c r="J466" s="200">
        <f t="shared" si="117"/>
        <v>101498818.72338134</v>
      </c>
      <c r="K466" s="200">
        <f t="shared" si="118"/>
        <v>92500826.394545853</v>
      </c>
      <c r="L466" s="324">
        <f t="shared" si="119"/>
        <v>8997992.3288354874</v>
      </c>
      <c r="M466" s="70"/>
    </row>
    <row r="467" spans="1:13" x14ac:dyDescent="0.25">
      <c r="A467" s="43">
        <v>7</v>
      </c>
      <c r="B467" s="69">
        <f t="shared" si="113"/>
        <v>298.85934929824339</v>
      </c>
      <c r="C467" s="95">
        <f t="shared" si="114"/>
        <v>104543783.28508277</v>
      </c>
      <c r="D467" s="95">
        <f t="shared" si="115"/>
        <v>117399523.29467922</v>
      </c>
      <c r="E467" s="95">
        <f t="shared" si="116"/>
        <v>144729975.90846378</v>
      </c>
      <c r="I467" s="43">
        <v>7</v>
      </c>
      <c r="J467" s="200">
        <f t="shared" si="117"/>
        <v>104543783.28508277</v>
      </c>
      <c r="K467" s="200">
        <f t="shared" si="118"/>
        <v>95275851.186382249</v>
      </c>
      <c r="L467" s="324">
        <f t="shared" si="119"/>
        <v>9267932.0987005234</v>
      </c>
      <c r="M467" s="70"/>
    </row>
    <row r="468" spans="1:13" x14ac:dyDescent="0.25">
      <c r="A468" s="43">
        <v>8</v>
      </c>
      <c r="B468" s="69">
        <f t="shared" si="113"/>
        <v>307.82512977719068</v>
      </c>
      <c r="C468" s="95">
        <f t="shared" si="114"/>
        <v>107680096.78363526</v>
      </c>
      <c r="D468" s="95">
        <f t="shared" si="115"/>
        <v>120921508.99351959</v>
      </c>
      <c r="E468" s="95">
        <f t="shared" si="116"/>
        <v>149071875.1857177</v>
      </c>
      <c r="I468" s="43">
        <v>8</v>
      </c>
      <c r="J468" s="200">
        <f t="shared" si="117"/>
        <v>107680096.78363526</v>
      </c>
      <c r="K468" s="200">
        <f t="shared" si="118"/>
        <v>98134126.721973702</v>
      </c>
      <c r="L468" s="324">
        <f t="shared" si="119"/>
        <v>9545970.0616615564</v>
      </c>
      <c r="M468" s="70"/>
    </row>
    <row r="469" spans="1:13" x14ac:dyDescent="0.25">
      <c r="A469" s="43">
        <v>9</v>
      </c>
      <c r="B469" s="69">
        <f t="shared" si="113"/>
        <v>317.05988367050639</v>
      </c>
      <c r="C469" s="95">
        <f t="shared" si="114"/>
        <v>110910499.68714431</v>
      </c>
      <c r="D469" s="95">
        <f t="shared" si="115"/>
        <v>124549154.26332518</v>
      </c>
      <c r="E469" s="95">
        <f t="shared" si="116"/>
        <v>153544031.44128922</v>
      </c>
      <c r="I469" s="43">
        <v>9</v>
      </c>
      <c r="J469" s="200">
        <f t="shared" si="117"/>
        <v>110910499.68714431</v>
      </c>
      <c r="K469" s="200">
        <f t="shared" si="118"/>
        <v>101078150.52363291</v>
      </c>
      <c r="L469" s="324">
        <f t="shared" si="119"/>
        <v>9832349.1635113955</v>
      </c>
      <c r="M469" s="70"/>
    </row>
    <row r="470" spans="1:13" x14ac:dyDescent="0.25">
      <c r="A470" s="43">
        <v>10</v>
      </c>
      <c r="B470" s="69">
        <f t="shared" si="113"/>
        <v>326.57168018062157</v>
      </c>
      <c r="C470" s="95">
        <f t="shared" si="114"/>
        <v>114237814.67775865</v>
      </c>
      <c r="D470" s="95">
        <f t="shared" si="115"/>
        <v>128285628.89122495</v>
      </c>
      <c r="E470" s="95">
        <f t="shared" si="116"/>
        <v>158150352.38452792</v>
      </c>
      <c r="I470" s="43">
        <v>10</v>
      </c>
      <c r="J470" s="200">
        <f t="shared" si="117"/>
        <v>114237814.67775865</v>
      </c>
      <c r="K470" s="200">
        <f t="shared" si="118"/>
        <v>104110495.0393419</v>
      </c>
      <c r="L470" s="324">
        <f t="shared" si="119"/>
        <v>10127319.638416752</v>
      </c>
      <c r="M470" s="70"/>
    </row>
    <row r="471" spans="1:13" x14ac:dyDescent="0.25">
      <c r="A471" s="43">
        <v>11</v>
      </c>
      <c r="B471" s="69">
        <f t="shared" si="113"/>
        <v>336.36883058604025</v>
      </c>
      <c r="C471" s="95">
        <f t="shared" si="114"/>
        <v>117664949.11809142</v>
      </c>
      <c r="D471" s="95">
        <f t="shared" si="115"/>
        <v>132134197.75796171</v>
      </c>
      <c r="E471" s="95">
        <f t="shared" si="116"/>
        <v>162894862.95606378</v>
      </c>
      <c r="I471" s="43">
        <v>11</v>
      </c>
      <c r="J471" s="200">
        <f t="shared" si="117"/>
        <v>117664949.11809142</v>
      </c>
      <c r="K471" s="200">
        <f t="shared" si="118"/>
        <v>107233809.89052217</v>
      </c>
      <c r="L471" s="324">
        <f t="shared" si="119"/>
        <v>10431139.227569252</v>
      </c>
      <c r="M471" s="70"/>
    </row>
    <row r="472" spans="1:13" x14ac:dyDescent="0.25">
      <c r="A472" s="43">
        <v>12</v>
      </c>
      <c r="B472" s="69">
        <f t="shared" si="113"/>
        <v>346.4598955036214</v>
      </c>
      <c r="C472" s="95">
        <f t="shared" si="114"/>
        <v>126757798.66223016</v>
      </c>
      <c r="D472" s="95">
        <f t="shared" si="115"/>
        <v>136098223.69070053</v>
      </c>
      <c r="E472" s="95">
        <f t="shared" si="116"/>
        <v>167781708.84474564</v>
      </c>
      <c r="I472" s="43">
        <v>12</v>
      </c>
      <c r="J472" s="200">
        <f t="shared" si="117"/>
        <v>126757798.66223016</v>
      </c>
      <c r="K472" s="200">
        <f t="shared" si="118"/>
        <v>110450824.18723781</v>
      </c>
      <c r="L472" s="324">
        <f t="shared" si="119"/>
        <v>16306974.47499235</v>
      </c>
      <c r="M472" s="70"/>
    </row>
    <row r="473" spans="1:13" x14ac:dyDescent="0.25">
      <c r="A473" s="43">
        <v>13</v>
      </c>
      <c r="B473" s="69">
        <f t="shared" si="113"/>
        <v>356.85369236873004</v>
      </c>
      <c r="C473" s="95">
        <f t="shared" si="114"/>
        <v>130560532.62209705</v>
      </c>
      <c r="D473" s="95">
        <f t="shared" si="115"/>
        <v>140181170.40142152</v>
      </c>
      <c r="E473" s="95">
        <f t="shared" si="116"/>
        <v>172815160.11008799</v>
      </c>
      <c r="I473" s="43">
        <v>13</v>
      </c>
      <c r="J473" s="200">
        <f t="shared" si="117"/>
        <v>130560532.62209705</v>
      </c>
      <c r="K473" s="200">
        <f t="shared" si="118"/>
        <v>113764348.91285494</v>
      </c>
      <c r="L473" s="324">
        <f t="shared" si="119"/>
        <v>16796183.709242105</v>
      </c>
      <c r="M473" s="70"/>
    </row>
    <row r="474" spans="1:13" x14ac:dyDescent="0.25">
      <c r="A474" s="43">
        <v>14</v>
      </c>
      <c r="B474" s="69">
        <f t="shared" si="113"/>
        <v>367.55930313979195</v>
      </c>
      <c r="C474" s="95">
        <f t="shared" si="114"/>
        <v>134477348.60075998</v>
      </c>
      <c r="D474" s="95">
        <f t="shared" si="115"/>
        <v>144386605.51346421</v>
      </c>
      <c r="E474" s="95">
        <f t="shared" si="116"/>
        <v>177999614.91339067</v>
      </c>
      <c r="I474" s="43">
        <v>14</v>
      </c>
      <c r="J474" s="200">
        <f t="shared" si="117"/>
        <v>134477348.60075998</v>
      </c>
      <c r="K474" s="200">
        <f t="shared" si="118"/>
        <v>117177279.38024059</v>
      </c>
      <c r="L474" s="324">
        <f t="shared" si="119"/>
        <v>17300069.220519394</v>
      </c>
      <c r="M474" s="70"/>
    </row>
    <row r="475" spans="1:13" x14ac:dyDescent="0.25">
      <c r="A475" s="43">
        <v>15</v>
      </c>
      <c r="B475" s="69">
        <f t="shared" si="113"/>
        <v>378.58608223398574</v>
      </c>
      <c r="C475" s="95">
        <f t="shared" si="114"/>
        <v>138511669.05878279</v>
      </c>
      <c r="D475" s="95">
        <f t="shared" si="115"/>
        <v>148718203.67886814</v>
      </c>
      <c r="E475" s="95">
        <f t="shared" si="116"/>
        <v>183339603.3607924</v>
      </c>
      <c r="I475" s="43">
        <v>15</v>
      </c>
      <c r="J475" s="200">
        <f t="shared" si="117"/>
        <v>138511669.05878279</v>
      </c>
      <c r="K475" s="200">
        <f t="shared" si="118"/>
        <v>120692597.76164782</v>
      </c>
      <c r="L475" s="324">
        <f t="shared" si="119"/>
        <v>17819071.297134966</v>
      </c>
      <c r="M475" s="70"/>
    </row>
    <row r="476" spans="1:13" x14ac:dyDescent="0.25">
      <c r="A476" s="43">
        <v>16</v>
      </c>
      <c r="B476" s="69">
        <f t="shared" si="113"/>
        <v>389.94366470100528</v>
      </c>
      <c r="C476" s="95">
        <f t="shared" si="114"/>
        <v>142667019.13054624</v>
      </c>
      <c r="D476" s="95">
        <f t="shared" si="115"/>
        <v>153179749.78923413</v>
      </c>
      <c r="E476" s="95">
        <f t="shared" si="116"/>
        <v>188839791.4616161</v>
      </c>
      <c r="I476" s="43">
        <v>16</v>
      </c>
      <c r="J476" s="200">
        <f t="shared" si="117"/>
        <v>142667019.13054624</v>
      </c>
      <c r="K476" s="200">
        <f t="shared" si="118"/>
        <v>124313375.69449723</v>
      </c>
      <c r="L476" s="324">
        <f t="shared" si="119"/>
        <v>18353643.436049014</v>
      </c>
      <c r="M476" s="70"/>
    </row>
    <row r="477" spans="1:13" x14ac:dyDescent="0.25">
      <c r="A477" s="43">
        <v>17</v>
      </c>
      <c r="B477" s="69">
        <f t="shared" si="113"/>
        <v>401.64197464203539</v>
      </c>
      <c r="C477" s="95">
        <f t="shared" si="114"/>
        <v>146947029.70446262</v>
      </c>
      <c r="D477" s="95">
        <f t="shared" si="115"/>
        <v>157775142.28291115</v>
      </c>
      <c r="E477" s="95">
        <f t="shared" si="116"/>
        <v>194504985.2054646</v>
      </c>
      <c r="I477" s="43">
        <v>17</v>
      </c>
      <c r="J477" s="200">
        <f t="shared" si="117"/>
        <v>146947029.70446262</v>
      </c>
      <c r="K477" s="200">
        <f t="shared" si="118"/>
        <v>128042776.96533215</v>
      </c>
      <c r="L477" s="324">
        <f t="shared" si="119"/>
        <v>18904252.739130467</v>
      </c>
      <c r="M477" s="70"/>
    </row>
    <row r="478" spans="1:13" x14ac:dyDescent="0.25">
      <c r="A478" s="43">
        <v>18</v>
      </c>
      <c r="B478" s="69">
        <f t="shared" si="113"/>
        <v>413.69123388129651</v>
      </c>
      <c r="C478" s="95">
        <f t="shared" si="114"/>
        <v>151355440.59559655</v>
      </c>
      <c r="D478" s="95">
        <f t="shared" si="115"/>
        <v>162508396.55139855</v>
      </c>
      <c r="E478" s="95">
        <f t="shared" si="116"/>
        <v>200340134.7616286</v>
      </c>
      <c r="I478" s="43">
        <v>18</v>
      </c>
      <c r="J478" s="200">
        <f t="shared" si="117"/>
        <v>151355440.59559655</v>
      </c>
      <c r="K478" s="200">
        <f t="shared" si="118"/>
        <v>131884060.27429214</v>
      </c>
      <c r="L478" s="324">
        <f t="shared" si="119"/>
        <v>19471380.321304411</v>
      </c>
      <c r="M478" s="70"/>
    </row>
    <row r="479" spans="1:13" x14ac:dyDescent="0.25">
      <c r="A479" s="43">
        <v>19</v>
      </c>
      <c r="B479" s="69">
        <f t="shared" si="113"/>
        <v>426.10197089773538</v>
      </c>
      <c r="C479" s="95">
        <f t="shared" si="114"/>
        <v>155896103.81346443</v>
      </c>
      <c r="D479" s="95">
        <f t="shared" si="115"/>
        <v>167383648.44794047</v>
      </c>
      <c r="E479" s="95">
        <f t="shared" si="116"/>
        <v>206350338.80447742</v>
      </c>
      <c r="I479" s="43">
        <v>19</v>
      </c>
      <c r="J479" s="200">
        <f t="shared" si="117"/>
        <v>155896103.81346443</v>
      </c>
      <c r="K479" s="200">
        <f t="shared" si="118"/>
        <v>135840582.0825209</v>
      </c>
      <c r="L479" s="324">
        <f t="shared" si="119"/>
        <v>20055521.730943531</v>
      </c>
      <c r="M479" s="70"/>
    </row>
    <row r="480" spans="1:13" x14ac:dyDescent="0.25">
      <c r="A480" s="43">
        <v>20</v>
      </c>
      <c r="B480" s="69">
        <f t="shared" si="113"/>
        <v>438.8850300246674</v>
      </c>
      <c r="C480" s="95">
        <f t="shared" si="114"/>
        <v>160572986.92786834</v>
      </c>
      <c r="D480" s="95">
        <f t="shared" si="115"/>
        <v>172405157.90137866</v>
      </c>
      <c r="E480" s="95">
        <f t="shared" si="116"/>
        <v>212540848.96861172</v>
      </c>
      <c r="I480" s="43">
        <v>20</v>
      </c>
      <c r="J480" s="200">
        <f t="shared" si="117"/>
        <v>160572986.92786834</v>
      </c>
      <c r="K480" s="200">
        <f t="shared" si="118"/>
        <v>139915799.5449965</v>
      </c>
      <c r="L480" s="324">
        <f t="shared" si="119"/>
        <v>20657187.382871836</v>
      </c>
      <c r="M480" s="70"/>
    </row>
    <row r="481" spans="1:18" x14ac:dyDescent="0.25">
      <c r="A481" s="43">
        <v>21</v>
      </c>
      <c r="B481" s="69">
        <f t="shared" si="113"/>
        <v>452.05158092540739</v>
      </c>
      <c r="C481" s="95">
        <f t="shared" si="114"/>
        <v>165390176.53570437</v>
      </c>
      <c r="D481" s="95">
        <f t="shared" si="115"/>
        <v>177577312.63842002</v>
      </c>
      <c r="E481" s="95">
        <f t="shared" si="116"/>
        <v>218917074.43767005</v>
      </c>
      <c r="I481" s="43">
        <v>21</v>
      </c>
      <c r="J481" s="200">
        <f t="shared" si="117"/>
        <v>165390176.53570437</v>
      </c>
      <c r="K481" s="200">
        <f t="shared" si="118"/>
        <v>144113273.53134638</v>
      </c>
      <c r="L481" s="324">
        <f t="shared" si="119"/>
        <v>21276903.004357994</v>
      </c>
      <c r="M481" s="70"/>
    </row>
    <row r="482" spans="1:18" x14ac:dyDescent="0.25">
      <c r="A482" s="43">
        <v>22</v>
      </c>
      <c r="B482" s="69">
        <f t="shared" si="113"/>
        <v>465.61312835316966</v>
      </c>
      <c r="C482" s="95">
        <f t="shared" si="114"/>
        <v>170351881.83177552</v>
      </c>
      <c r="D482" s="95">
        <f t="shared" si="115"/>
        <v>182904632.01757264</v>
      </c>
      <c r="E482" s="95">
        <f t="shared" si="116"/>
        <v>225484586.67080018</v>
      </c>
      <c r="I482" s="43">
        <v>22</v>
      </c>
      <c r="J482" s="200">
        <f t="shared" si="117"/>
        <v>170351881.83177552</v>
      </c>
      <c r="K482" s="200">
        <f t="shared" si="118"/>
        <v>148436671.73728681</v>
      </c>
      <c r="L482" s="324">
        <f t="shared" si="119"/>
        <v>21915210.09448871</v>
      </c>
      <c r="M482" s="70"/>
    </row>
    <row r="483" spans="1:18" x14ac:dyDescent="0.25">
      <c r="A483" s="43">
        <v>23</v>
      </c>
      <c r="B483" s="69">
        <f t="shared" si="113"/>
        <v>479.58152220376479</v>
      </c>
      <c r="C483" s="95">
        <f t="shared" si="114"/>
        <v>175462438.2867288</v>
      </c>
      <c r="D483" s="95">
        <f t="shared" si="115"/>
        <v>188391770.97809982</v>
      </c>
      <c r="E483" s="95">
        <f t="shared" si="116"/>
        <v>232249124.27092418</v>
      </c>
      <c r="I483" s="43">
        <v>23</v>
      </c>
      <c r="J483" s="200">
        <f t="shared" si="117"/>
        <v>175462438.2867288</v>
      </c>
      <c r="K483" s="200">
        <f t="shared" si="118"/>
        <v>152889771.88940543</v>
      </c>
      <c r="L483" s="324">
        <f t="shared" si="119"/>
        <v>22572666.39732337</v>
      </c>
      <c r="M483" s="70"/>
    </row>
    <row r="484" spans="1:18" x14ac:dyDescent="0.25">
      <c r="A484" s="43">
        <v>24</v>
      </c>
      <c r="B484" s="69">
        <f t="shared" si="113"/>
        <v>493.96896786987764</v>
      </c>
      <c r="C484" s="95">
        <f t="shared" si="114"/>
        <v>180726311.43533063</v>
      </c>
      <c r="D484" s="95">
        <f t="shared" si="115"/>
        <v>194043524.1074428</v>
      </c>
      <c r="E484" s="95">
        <f t="shared" si="116"/>
        <v>239216597.9990519</v>
      </c>
      <c r="I484" s="43">
        <v>24</v>
      </c>
      <c r="J484" s="200">
        <f t="shared" si="117"/>
        <v>180726311.43533063</v>
      </c>
      <c r="K484" s="200">
        <f t="shared" si="118"/>
        <v>157476465.04608756</v>
      </c>
      <c r="L484" s="324">
        <f t="shared" si="119"/>
        <v>23249846.389243066</v>
      </c>
      <c r="M484" s="70"/>
    </row>
    <row r="485" spans="1:18" x14ac:dyDescent="0.25">
      <c r="A485" s="43">
        <v>25</v>
      </c>
      <c r="B485" s="69">
        <f t="shared" si="113"/>
        <v>508.78803690597397</v>
      </c>
      <c r="C485" s="95">
        <f t="shared" si="114"/>
        <v>186148100.77839056</v>
      </c>
      <c r="D485" s="95">
        <f t="shared" si="115"/>
        <v>199864829.8306661</v>
      </c>
      <c r="E485" s="95">
        <f t="shared" si="116"/>
        <v>246393095.93902346</v>
      </c>
      <c r="I485" s="43">
        <v>25</v>
      </c>
      <c r="J485" s="200">
        <f t="shared" si="117"/>
        <v>186148100.77839056</v>
      </c>
      <c r="K485" s="200">
        <f t="shared" si="118"/>
        <v>162200758.99747017</v>
      </c>
      <c r="L485" s="324">
        <f t="shared" si="119"/>
        <v>23947341.780920386</v>
      </c>
      <c r="M485" s="70"/>
    </row>
    <row r="486" spans="1:18" x14ac:dyDescent="0.25">
      <c r="A486" s="43">
        <v>26</v>
      </c>
      <c r="B486" s="69">
        <f t="shared" si="113"/>
        <v>524.05167801315326</v>
      </c>
      <c r="C486" s="95">
        <f t="shared" si="114"/>
        <v>191732543.80174229</v>
      </c>
      <c r="D486" s="95">
        <f t="shared" si="115"/>
        <v>205860774.72558609</v>
      </c>
      <c r="E486" s="95">
        <f t="shared" si="116"/>
        <v>253784888.81719416</v>
      </c>
      <c r="I486" s="43">
        <v>26</v>
      </c>
      <c r="J486" s="200">
        <f t="shared" si="117"/>
        <v>191732543.80174229</v>
      </c>
      <c r="K486" s="200">
        <f t="shared" si="118"/>
        <v>167066781.7673943</v>
      </c>
      <c r="L486" s="324">
        <f t="shared" si="119"/>
        <v>24665762.034347981</v>
      </c>
      <c r="M486" s="70"/>
    </row>
    <row r="487" spans="1:18" x14ac:dyDescent="0.25">
      <c r="A487" s="43">
        <v>27</v>
      </c>
      <c r="B487" s="69">
        <f t="shared" si="113"/>
        <v>539.77322835354778</v>
      </c>
      <c r="C487" s="95">
        <f t="shared" si="114"/>
        <v>197484520.11579454</v>
      </c>
      <c r="D487" s="95">
        <f t="shared" si="115"/>
        <v>212036597.96735364</v>
      </c>
      <c r="E487" s="95">
        <f t="shared" si="116"/>
        <v>261398435.48170996</v>
      </c>
      <c r="I487" s="43">
        <v>27</v>
      </c>
      <c r="J487" s="200">
        <f t="shared" si="117"/>
        <v>197484520.11579454</v>
      </c>
      <c r="K487" s="200">
        <f t="shared" si="118"/>
        <v>172078785.2204161</v>
      </c>
      <c r="L487" s="324">
        <f t="shared" si="119"/>
        <v>25405734.895378441</v>
      </c>
      <c r="M487" s="70"/>
    </row>
    <row r="488" spans="1:18" x14ac:dyDescent="0.25">
      <c r="A488" s="43">
        <v>28</v>
      </c>
      <c r="B488" s="69">
        <f t="shared" si="113"/>
        <v>555.96642520415423</v>
      </c>
      <c r="C488" s="95">
        <f t="shared" si="114"/>
        <v>203409055.71926838</v>
      </c>
      <c r="D488" s="95">
        <f t="shared" si="115"/>
        <v>218397695.90637428</v>
      </c>
      <c r="E488" s="95">
        <f t="shared" si="116"/>
        <v>269240388.54616129</v>
      </c>
      <c r="I488" s="43">
        <v>28</v>
      </c>
      <c r="J488" s="200">
        <f t="shared" si="117"/>
        <v>203409055.71926838</v>
      </c>
      <c r="K488" s="200">
        <f t="shared" si="118"/>
        <v>177241148.77702859</v>
      </c>
      <c r="L488" s="324">
        <f t="shared" si="119"/>
        <v>26167906.942239791</v>
      </c>
      <c r="M488" s="70"/>
    </row>
    <row r="489" spans="1:18" x14ac:dyDescent="0.25">
      <c r="A489" s="43">
        <v>29</v>
      </c>
      <c r="B489" s="69">
        <f t="shared" si="113"/>
        <v>572.64541796027879</v>
      </c>
      <c r="C489" s="95">
        <f t="shared" si="114"/>
        <v>209511327.3908464</v>
      </c>
      <c r="D489" s="95">
        <f t="shared" si="115"/>
        <v>224949626.78356543</v>
      </c>
      <c r="E489" s="95">
        <f t="shared" si="116"/>
        <v>277317600.20254606</v>
      </c>
      <c r="I489" s="43">
        <v>29</v>
      </c>
      <c r="J489" s="200">
        <f t="shared" si="117"/>
        <v>209511327.3908464</v>
      </c>
      <c r="K489" s="200">
        <f t="shared" si="118"/>
        <v>182558383.24033943</v>
      </c>
      <c r="L489" s="324">
        <f t="shared" si="119"/>
        <v>26952944.150506973</v>
      </c>
      <c r="M489" s="70"/>
    </row>
    <row r="490" spans="1:18" x14ac:dyDescent="0.25">
      <c r="A490" s="43">
        <v>30</v>
      </c>
      <c r="B490" s="69">
        <f t="shared" si="113"/>
        <v>589.82478049908718</v>
      </c>
      <c r="C490" s="95">
        <f t="shared" si="114"/>
        <v>215796667.2125718</v>
      </c>
      <c r="D490" s="95">
        <f t="shared" si="115"/>
        <v>231698115.5870724</v>
      </c>
      <c r="E490" s="95">
        <f t="shared" si="116"/>
        <v>285637128.20862246</v>
      </c>
      <c r="I490" s="43">
        <v>30</v>
      </c>
      <c r="J490" s="200">
        <f t="shared" si="117"/>
        <v>215796667.2125718</v>
      </c>
      <c r="K490" s="200">
        <f t="shared" si="118"/>
        <v>188035134.73754963</v>
      </c>
      <c r="L490" s="324">
        <f t="shared" si="119"/>
        <v>27761532.475022167</v>
      </c>
      <c r="M490" s="70"/>
    </row>
    <row r="491" spans="1:18" x14ac:dyDescent="0.25">
      <c r="A491" s="43">
        <v>31</v>
      </c>
      <c r="B491" s="69">
        <f t="shared" si="113"/>
        <v>607.51952391405985</v>
      </c>
      <c r="C491" s="95">
        <f t="shared" si="114"/>
        <v>222270567.22894898</v>
      </c>
      <c r="D491" s="95">
        <f t="shared" si="115"/>
        <v>238649059.05468461</v>
      </c>
      <c r="E491" s="95">
        <f t="shared" si="116"/>
        <v>294206242.05488116</v>
      </c>
      <c r="I491" s="43">
        <v>31</v>
      </c>
      <c r="J491" s="200">
        <f t="shared" si="117"/>
        <v>222270567.22894898</v>
      </c>
      <c r="K491" s="200">
        <f t="shared" si="118"/>
        <v>193676188.77967614</v>
      </c>
      <c r="L491" s="324">
        <f t="shared" si="119"/>
        <v>28594378.449272841</v>
      </c>
    </row>
    <row r="492" spans="1:18" x14ac:dyDescent="0.25">
      <c r="A492" s="43">
        <v>32</v>
      </c>
      <c r="B492" s="69">
        <f t="shared" si="113"/>
        <v>625.74510963148157</v>
      </c>
      <c r="C492" s="95">
        <f t="shared" si="114"/>
        <v>228938684.24581742</v>
      </c>
      <c r="D492" s="95">
        <f t="shared" si="115"/>
        <v>245808530.82632512</v>
      </c>
      <c r="E492" s="95">
        <f t="shared" si="116"/>
        <v>303032429.31652755</v>
      </c>
      <c r="I492" s="43">
        <v>32</v>
      </c>
      <c r="J492" s="200">
        <f t="shared" si="117"/>
        <v>228938684.24581742</v>
      </c>
      <c r="K492" s="200">
        <f t="shared" si="118"/>
        <v>199486474.44306639</v>
      </c>
      <c r="L492" s="324">
        <f t="shared" si="119"/>
        <v>29452209.802751034</v>
      </c>
    </row>
    <row r="494" spans="1:18" x14ac:dyDescent="0.25">
      <c r="A494" s="269" t="s">
        <v>264</v>
      </c>
    </row>
    <row r="495" spans="1:18" ht="15.75" thickBot="1" x14ac:dyDescent="0.3">
      <c r="A495" s="313" t="s">
        <v>265</v>
      </c>
      <c r="F495" s="285"/>
      <c r="G495" s="285"/>
      <c r="H495" s="285"/>
    </row>
    <row r="496" spans="1:18" ht="16.5" thickTop="1" thickBot="1" x14ac:dyDescent="0.3">
      <c r="A496" s="303" t="s">
        <v>237</v>
      </c>
      <c r="B496" s="276" t="s">
        <v>233</v>
      </c>
      <c r="C496" s="276" t="s">
        <v>234</v>
      </c>
      <c r="D496" s="277" t="s">
        <v>235</v>
      </c>
      <c r="F496" t="s">
        <v>239</v>
      </c>
      <c r="N496" s="47"/>
      <c r="O496" s="47"/>
      <c r="P496" s="47"/>
      <c r="Q496" s="47"/>
      <c r="R496" s="47"/>
    </row>
    <row r="497" spans="1:18" x14ac:dyDescent="0.25">
      <c r="A497" s="304">
        <v>2</v>
      </c>
      <c r="B497" s="314">
        <v>69.239999999999995</v>
      </c>
      <c r="C497" s="314">
        <v>54.69</v>
      </c>
      <c r="D497" s="315">
        <v>42.48</v>
      </c>
      <c r="F497" s="284" t="s">
        <v>237</v>
      </c>
      <c r="G497" s="292" t="s">
        <v>233</v>
      </c>
      <c r="H497" s="292" t="s">
        <v>234</v>
      </c>
      <c r="I497" s="293" t="s">
        <v>235</v>
      </c>
      <c r="N497" s="47"/>
      <c r="O497" s="47"/>
      <c r="P497" s="47"/>
      <c r="Q497" s="47"/>
      <c r="R497" s="47"/>
    </row>
    <row r="498" spans="1:18" x14ac:dyDescent="0.25">
      <c r="A498" s="304">
        <v>3</v>
      </c>
      <c r="B498" s="306">
        <f>(B497+B499)/2</f>
        <v>68.199999999999989</v>
      </c>
      <c r="C498" s="306">
        <f>(C497+C499)/2</f>
        <v>54.230000000000004</v>
      </c>
      <c r="D498" s="316">
        <f>(D497+D499)/2</f>
        <v>42.284999999999997</v>
      </c>
      <c r="E498" s="60"/>
      <c r="F498" s="321">
        <v>0</v>
      </c>
      <c r="G498" s="302">
        <f>0.00015*(F498)^3-0.003*(F498)^2+0.081*(F498)+0.96</f>
        <v>0.96</v>
      </c>
      <c r="H498" s="302">
        <f>0.00003*(F498)^3-0*(F498)^2+0.065*(F498)+1.27</f>
        <v>1.27</v>
      </c>
      <c r="I498" s="302">
        <f>0.00002*(F498)^3-0*(F498)^2+0.069*(F498)+1.603</f>
        <v>1.603</v>
      </c>
      <c r="N498" s="289"/>
      <c r="O498" s="47"/>
      <c r="P498" s="289"/>
      <c r="Q498" s="47"/>
      <c r="R498" s="47"/>
    </row>
    <row r="499" spans="1:18" x14ac:dyDescent="0.25">
      <c r="A499" s="304">
        <v>4</v>
      </c>
      <c r="B499" s="278">
        <v>67.16</v>
      </c>
      <c r="C499" s="278">
        <v>53.77</v>
      </c>
      <c r="D499" s="305">
        <v>42.09</v>
      </c>
      <c r="F499" s="285"/>
      <c r="G499" s="285"/>
      <c r="H499" s="285"/>
      <c r="N499" s="317"/>
      <c r="O499" s="47"/>
      <c r="P499" s="289"/>
      <c r="Q499" s="289"/>
      <c r="R499" s="289"/>
    </row>
    <row r="500" spans="1:18" x14ac:dyDescent="0.25">
      <c r="A500" s="304">
        <v>5</v>
      </c>
      <c r="B500" s="306">
        <f>(B499+B501)/2</f>
        <v>64.849999999999994</v>
      </c>
      <c r="C500" s="306">
        <f>(C499+C501)/2</f>
        <v>52.725000000000001</v>
      </c>
      <c r="D500" s="316">
        <f>(D499+D501)/2</f>
        <v>41.66</v>
      </c>
      <c r="F500" s="285"/>
      <c r="G500" s="285"/>
      <c r="H500" s="285"/>
      <c r="N500" s="318"/>
      <c r="O500" s="47"/>
      <c r="P500" s="64"/>
      <c r="Q500" s="64"/>
      <c r="R500" s="64"/>
    </row>
    <row r="501" spans="1:18" ht="18.75" x14ac:dyDescent="0.3">
      <c r="A501" s="304">
        <v>6</v>
      </c>
      <c r="B501" s="278">
        <v>62.54</v>
      </c>
      <c r="C501" s="278">
        <v>51.68</v>
      </c>
      <c r="D501" s="305">
        <v>41.23</v>
      </c>
      <c r="F501" s="104" t="s">
        <v>254</v>
      </c>
      <c r="G501" s="104"/>
      <c r="H501" s="310"/>
      <c r="N501" s="317"/>
      <c r="O501" s="47"/>
      <c r="P501" s="319"/>
      <c r="Q501" s="319"/>
      <c r="R501" s="320"/>
    </row>
    <row r="502" spans="1:18" ht="18.75" x14ac:dyDescent="0.3">
      <c r="A502" s="304">
        <v>7</v>
      </c>
      <c r="B502" s="306">
        <f>(B501+B503)/2</f>
        <v>59.325000000000003</v>
      </c>
      <c r="C502" s="306">
        <f>(C501+C503)/2</f>
        <v>50.024999999999999</v>
      </c>
      <c r="D502" s="316">
        <f>(D501+D503)/2</f>
        <v>40.5</v>
      </c>
      <c r="F502" s="35" t="s">
        <v>255</v>
      </c>
      <c r="G502" s="35">
        <v>85</v>
      </c>
      <c r="H502" s="108"/>
      <c r="N502" s="318"/>
      <c r="O502" s="47"/>
      <c r="P502" s="319"/>
      <c r="Q502" s="319"/>
      <c r="R502" s="320"/>
    </row>
    <row r="503" spans="1:18" ht="18.75" x14ac:dyDescent="0.3">
      <c r="A503" s="304">
        <v>8</v>
      </c>
      <c r="B503" s="278">
        <v>56.11</v>
      </c>
      <c r="C503" s="278">
        <v>48.37</v>
      </c>
      <c r="D503" s="305">
        <v>39.770000000000003</v>
      </c>
      <c r="F503" s="35" t="s">
        <v>266</v>
      </c>
      <c r="G503" s="35">
        <v>69</v>
      </c>
      <c r="H503" s="108"/>
      <c r="N503" s="317"/>
      <c r="O503" s="47"/>
      <c r="P503" s="319"/>
      <c r="Q503" s="319"/>
      <c r="R503" s="320"/>
    </row>
    <row r="504" spans="1:18" ht="18.75" x14ac:dyDescent="0.3">
      <c r="A504" s="304">
        <v>9</v>
      </c>
      <c r="B504" s="306">
        <f>(B503+B505)/2</f>
        <v>52.75</v>
      </c>
      <c r="C504" s="306">
        <f>(C503+C505)/2</f>
        <v>46.344999999999999</v>
      </c>
      <c r="D504" s="316">
        <f>(D503+D505)/2</f>
        <v>38.760000000000005</v>
      </c>
      <c r="F504" s="35" t="s">
        <v>257</v>
      </c>
      <c r="G504" s="309">
        <f>G503/G502</f>
        <v>0.81176470588235294</v>
      </c>
      <c r="H504" s="108"/>
      <c r="N504" s="318"/>
      <c r="O504" s="47"/>
      <c r="P504" s="319"/>
      <c r="Q504" s="319"/>
      <c r="R504" s="320"/>
    </row>
    <row r="505" spans="1:18" ht="18.75" x14ac:dyDescent="0.3">
      <c r="A505" s="304">
        <v>10</v>
      </c>
      <c r="B505" s="278">
        <v>49.39</v>
      </c>
      <c r="C505" s="278">
        <v>44.32</v>
      </c>
      <c r="D505" s="305">
        <v>37.75</v>
      </c>
      <c r="N505" s="317"/>
      <c r="O505" s="47"/>
      <c r="P505" s="319"/>
      <c r="Q505" s="319"/>
      <c r="R505" s="320"/>
    </row>
    <row r="506" spans="1:18" ht="18.75" x14ac:dyDescent="0.3">
      <c r="A506" s="304">
        <v>11</v>
      </c>
      <c r="B506" s="306">
        <f>(B505+B507)/2</f>
        <v>46.365000000000002</v>
      </c>
      <c r="C506" s="306">
        <f>(C505+C507)/2</f>
        <v>42.230000000000004</v>
      </c>
      <c r="D506" s="316">
        <f>(D505+D507)/2</f>
        <v>36.56</v>
      </c>
      <c r="F506" s="285"/>
      <c r="G506" s="285"/>
      <c r="H506" s="285"/>
      <c r="N506" s="318"/>
      <c r="O506" s="47"/>
      <c r="P506" s="319"/>
      <c r="Q506" s="319"/>
      <c r="R506" s="320"/>
    </row>
    <row r="507" spans="1:18" ht="19.5" thickBot="1" x14ac:dyDescent="0.35">
      <c r="A507" s="307">
        <v>12</v>
      </c>
      <c r="B507" s="283">
        <v>43.34</v>
      </c>
      <c r="C507" s="283">
        <v>40.14</v>
      </c>
      <c r="D507" s="308">
        <v>35.369999999999997</v>
      </c>
      <c r="N507" s="317"/>
      <c r="O507" s="47"/>
      <c r="P507" s="319"/>
      <c r="Q507" s="319"/>
      <c r="R507" s="320"/>
    </row>
    <row r="508" spans="1:18" ht="18.75" x14ac:dyDescent="0.3">
      <c r="K508" s="318"/>
      <c r="L508" s="318"/>
      <c r="M508" s="318"/>
      <c r="N508" s="318"/>
      <c r="O508" s="47"/>
      <c r="P508" s="319"/>
      <c r="Q508" s="319"/>
      <c r="R508" s="320"/>
    </row>
    <row r="509" spans="1:18" ht="18.75" x14ac:dyDescent="0.3">
      <c r="K509" s="317"/>
      <c r="L509" s="317"/>
      <c r="M509" s="317"/>
      <c r="N509" s="317"/>
      <c r="O509" s="47"/>
      <c r="P509" s="319"/>
      <c r="Q509" s="319"/>
      <c r="R509" s="320"/>
    </row>
    <row r="510" spans="1:18" x14ac:dyDescent="0.25">
      <c r="A510" s="239" t="s">
        <v>241</v>
      </c>
      <c r="B510" s="239"/>
      <c r="K510" s="45"/>
      <c r="L510" s="45"/>
      <c r="M510" s="45"/>
      <c r="N510" s="45"/>
      <c r="O510" s="47"/>
      <c r="P510" s="47"/>
      <c r="Q510" s="47"/>
      <c r="R510" s="47"/>
    </row>
    <row r="511" spans="1:18" x14ac:dyDescent="0.25">
      <c r="A511" t="s">
        <v>275</v>
      </c>
      <c r="C511" t="s">
        <v>227</v>
      </c>
    </row>
    <row r="512" spans="1:18" x14ac:dyDescent="0.25">
      <c r="A512" s="43" t="s">
        <v>228</v>
      </c>
      <c r="B512" s="43">
        <v>6.46</v>
      </c>
    </row>
    <row r="513" spans="1:14" x14ac:dyDescent="0.25">
      <c r="A513" s="43" t="s">
        <v>99</v>
      </c>
      <c r="B513" s="169" t="str">
        <f>$B$20</f>
        <v>P</v>
      </c>
      <c r="C513" s="575" t="s">
        <v>229</v>
      </c>
      <c r="D513" s="575"/>
      <c r="E513" s="575"/>
      <c r="F513" s="575" t="s">
        <v>230</v>
      </c>
      <c r="G513" s="576"/>
      <c r="H513" s="576"/>
      <c r="I513" s="575" t="s">
        <v>231</v>
      </c>
      <c r="J513" s="575"/>
      <c r="K513" s="575"/>
      <c r="L513" s="575" t="s">
        <v>240</v>
      </c>
      <c r="M513" s="575"/>
      <c r="N513" s="575"/>
    </row>
    <row r="514" spans="1:14" x14ac:dyDescent="0.25">
      <c r="A514" s="35" t="s">
        <v>18</v>
      </c>
      <c r="B514" s="95" t="s">
        <v>20</v>
      </c>
      <c r="C514" s="270" t="s">
        <v>233</v>
      </c>
      <c r="D514" s="270" t="s">
        <v>234</v>
      </c>
      <c r="E514" s="270" t="s">
        <v>235</v>
      </c>
      <c r="F514" s="270" t="s">
        <v>233</v>
      </c>
      <c r="G514" s="270" t="s">
        <v>234</v>
      </c>
      <c r="H514" s="270" t="s">
        <v>235</v>
      </c>
      <c r="I514" s="270" t="s">
        <v>233</v>
      </c>
      <c r="J514" s="270" t="s">
        <v>234</v>
      </c>
      <c r="K514" s="270" t="s">
        <v>235</v>
      </c>
      <c r="L514" s="270" t="s">
        <v>233</v>
      </c>
      <c r="M514" s="270" t="s">
        <v>234</v>
      </c>
      <c r="N514" s="270" t="s">
        <v>235</v>
      </c>
    </row>
    <row r="515" spans="1:14" x14ac:dyDescent="0.25">
      <c r="A515" s="271">
        <v>0</v>
      </c>
      <c r="B515" s="272">
        <f>B22*$G$504</f>
        <v>67.376470588235293</v>
      </c>
      <c r="C515" s="273">
        <f>B515</f>
        <v>67.376470588235293</v>
      </c>
      <c r="D515" s="273">
        <f>C515</f>
        <v>67.376470588235293</v>
      </c>
      <c r="E515" s="273">
        <f>D515</f>
        <v>67.376470588235293</v>
      </c>
      <c r="F515" s="266">
        <f>IF(C515&gt;$B$497,2,IF(C515&gt;$B$498,3,IF(C515&gt;$B$499,4,IF(C515&gt;$B$500,5,IF(C515&gt;$B$501,6,IF(C515&gt;$B$502,7,IF(C515&gt;$B$503,8,IF(C515&gt;$B$504,9,IF(C515&gt;$B$505,10,IF(C515&gt;$B$506,11,IF(C515&gt;$B$507,12,12)))))))))))</f>
        <v>4</v>
      </c>
      <c r="G515" s="266">
        <f>IF(D515&gt;$C$497,2,IF(D515&gt;$C$498,3,IF(D515&gt;$C$499,4,IF(D515&gt;$C$500,5,IF(D515&gt;$C$501,6,IF(D515&gt;$C$502,7,IF(D515&gt;$C$503,8,IF(D515&gt;$C$504,9,IF(D515&gt;$C$505,10,IF(D515&gt;$C$506,11,IF(D515&gt;$C$507,12,12)))))))))))</f>
        <v>2</v>
      </c>
      <c r="H515" s="266">
        <f>IF(E515&gt;$D$497,2,IF(E515&gt;$D$498,3,IF(E515&gt;$D$499,4,IF(E515&gt;$D$500,5,IF(E515&gt;$D$501,6,IF(E515&gt;$D$502,7,IF(E515&gt;$D$503,8,IF(E515&gt;$D$504,9,IF(E515&gt;$D$505,10,IF(E515&gt;$D$506,11,IF(E515&gt;$D$507,12,12)))))))))))</f>
        <v>2</v>
      </c>
      <c r="I515" s="312">
        <f>0.00015*(F515)^3-0.003*(F515)^2+0.081*(F515)+0.96</f>
        <v>1.2456</v>
      </c>
      <c r="J515" s="312">
        <f>0.00003*(G515)^3-0*(G515)^2+0.065*(G515)+1.27</f>
        <v>1.4002399999999999</v>
      </c>
      <c r="K515" s="312">
        <f>0.00002*(H515)^3-0*(H515)^2+0.069*(H515)+1.603</f>
        <v>1.74116</v>
      </c>
      <c r="L515" s="204">
        <f>$B$512*I515</f>
        <v>8.046576</v>
      </c>
      <c r="M515" s="204">
        <f>$B$512*J515</f>
        <v>9.0455503999999998</v>
      </c>
      <c r="N515" s="204">
        <f>$B$512*K515</f>
        <v>11.247893599999999</v>
      </c>
    </row>
    <row r="516" spans="1:14" x14ac:dyDescent="0.25">
      <c r="A516" s="271">
        <v>1</v>
      </c>
      <c r="B516" s="272">
        <f t="shared" ref="B516:B547" si="120">B23*$G$504</f>
        <v>67.376470588235293</v>
      </c>
      <c r="C516" s="273">
        <f t="shared" ref="C516:C547" si="121">B516</f>
        <v>67.376470588235293</v>
      </c>
      <c r="D516" s="311">
        <f>C516</f>
        <v>67.376470588235293</v>
      </c>
      <c r="E516" s="311">
        <f>D516</f>
        <v>67.376470588235293</v>
      </c>
      <c r="F516" s="266">
        <f t="shared" ref="F516:F547" si="122">IF(C516&gt;$B$497,2,IF(C516&gt;$B$498,3,IF(C516&gt;$B$499,4,IF(C516&gt;$B$500,5,IF(C516&gt;$B$501,6,IF(C516&gt;$B$502,7,IF(C516&gt;$B$503,8,IF(C516&gt;$B$504,9,IF(C516&gt;$B$505,10,IF(C516&gt;$B$506,11,IF(C516&gt;$B$507,12,12)))))))))))</f>
        <v>4</v>
      </c>
      <c r="G516" s="266">
        <f t="shared" ref="G516:G547" si="123">IF(D516&gt;$C$497,2,IF(D516&gt;$C$498,3,IF(D516&gt;$C$499,4,IF(D516&gt;$C$500,5,IF(D516&gt;$C$501,6,IF(D516&gt;$C$502,7,IF(D516&gt;$C$503,8,IF(D516&gt;$C$504,9,IF(D516&gt;$C$505,10,IF(D516&gt;$C$506,11,IF(D516&gt;$C$507,12,12)))))))))))</f>
        <v>2</v>
      </c>
      <c r="H516" s="266">
        <f t="shared" ref="H516:H547" si="124">IF(E516&gt;$D$497,2,IF(E516&gt;$D$498,3,IF(E516&gt;$D$499,4,IF(E516&gt;$D$500,5,IF(E516&gt;$D$501,6,IF(E516&gt;$D$502,7,IF(E516&gt;$D$503,8,IF(E516&gt;$D$504,9,IF(E516&gt;$D$505,10,IF(E516&gt;$D$506,11,IF(E516&gt;$D$507,12,12)))))))))))</f>
        <v>2</v>
      </c>
      <c r="I516" s="312">
        <f t="shared" ref="I516:I545" si="125">0.00015*(F516)^3-0.003*(F516)^2+0.081*(F516)+0.96</f>
        <v>1.2456</v>
      </c>
      <c r="J516" s="312">
        <f t="shared" ref="J516:J545" si="126">0.00003*(G516)^3-0*(G516)^2+0.065*(G516)+1.27</f>
        <v>1.4002399999999999</v>
      </c>
      <c r="K516" s="312">
        <f t="shared" ref="K516:K545" si="127">0.00002*(H516)^3-0*(H516)^2+0.069*(H516)+1.603</f>
        <v>1.74116</v>
      </c>
      <c r="L516" s="204">
        <f t="shared" ref="L516:L545" si="128">$B$512*I516</f>
        <v>8.046576</v>
      </c>
      <c r="M516" s="204">
        <f t="shared" ref="M516:M545" si="129">$B$512*J516</f>
        <v>9.0455503999999998</v>
      </c>
      <c r="N516" s="204">
        <f t="shared" ref="N516:N545" si="130">$B$512*K516</f>
        <v>11.247893599999999</v>
      </c>
    </row>
    <row r="517" spans="1:14" x14ac:dyDescent="0.25">
      <c r="A517" s="271">
        <v>2</v>
      </c>
      <c r="B517" s="272">
        <f t="shared" si="120"/>
        <v>67.376470588235293</v>
      </c>
      <c r="C517" s="273">
        <f t="shared" si="121"/>
        <v>67.376470588235293</v>
      </c>
      <c r="D517" s="273">
        <f>C517</f>
        <v>67.376470588235293</v>
      </c>
      <c r="E517" s="273">
        <f>D517</f>
        <v>67.376470588235293</v>
      </c>
      <c r="F517" s="266">
        <f t="shared" si="122"/>
        <v>4</v>
      </c>
      <c r="G517" s="266">
        <f t="shared" si="123"/>
        <v>2</v>
      </c>
      <c r="H517" s="266">
        <f t="shared" si="124"/>
        <v>2</v>
      </c>
      <c r="I517" s="312">
        <f t="shared" si="125"/>
        <v>1.2456</v>
      </c>
      <c r="J517" s="312">
        <f t="shared" si="126"/>
        <v>1.4002399999999999</v>
      </c>
      <c r="K517" s="312">
        <f t="shared" si="127"/>
        <v>1.74116</v>
      </c>
      <c r="L517" s="204">
        <f t="shared" si="128"/>
        <v>8.046576</v>
      </c>
      <c r="M517" s="204">
        <f t="shared" si="129"/>
        <v>9.0455503999999998</v>
      </c>
      <c r="N517" s="204">
        <f t="shared" si="130"/>
        <v>11.247893599999999</v>
      </c>
    </row>
    <row r="518" spans="1:14" x14ac:dyDescent="0.25">
      <c r="A518" s="271">
        <v>3</v>
      </c>
      <c r="B518" s="272">
        <f t="shared" si="120"/>
        <v>67.376470588235293</v>
      </c>
      <c r="C518" s="273">
        <f t="shared" si="121"/>
        <v>67.376470588235293</v>
      </c>
      <c r="D518" s="273">
        <f t="shared" ref="D518:D545" si="131">C518</f>
        <v>67.376470588235293</v>
      </c>
      <c r="E518" s="273">
        <f t="shared" ref="E518:E545" si="132">D518</f>
        <v>67.376470588235293</v>
      </c>
      <c r="F518" s="266">
        <f t="shared" si="122"/>
        <v>4</v>
      </c>
      <c r="G518" s="266">
        <f t="shared" si="123"/>
        <v>2</v>
      </c>
      <c r="H518" s="266">
        <f t="shared" si="124"/>
        <v>2</v>
      </c>
      <c r="I518" s="312">
        <f t="shared" si="125"/>
        <v>1.2456</v>
      </c>
      <c r="J518" s="312">
        <f t="shared" si="126"/>
        <v>1.4002399999999999</v>
      </c>
      <c r="K518" s="312">
        <f t="shared" si="127"/>
        <v>1.74116</v>
      </c>
      <c r="L518" s="204">
        <f t="shared" si="128"/>
        <v>8.046576</v>
      </c>
      <c r="M518" s="204">
        <f t="shared" si="129"/>
        <v>9.0455503999999998</v>
      </c>
      <c r="N518" s="204">
        <f t="shared" si="130"/>
        <v>11.247893599999999</v>
      </c>
    </row>
    <row r="519" spans="1:14" x14ac:dyDescent="0.25">
      <c r="A519" s="271">
        <v>4</v>
      </c>
      <c r="B519" s="272">
        <f t="shared" si="120"/>
        <v>67.376470588235293</v>
      </c>
      <c r="C519" s="273">
        <f t="shared" si="121"/>
        <v>67.376470588235293</v>
      </c>
      <c r="D519" s="273">
        <f t="shared" si="131"/>
        <v>67.376470588235293</v>
      </c>
      <c r="E519" s="273">
        <f t="shared" si="132"/>
        <v>67.376470588235293</v>
      </c>
      <c r="F519" s="266">
        <f t="shared" si="122"/>
        <v>4</v>
      </c>
      <c r="G519" s="266">
        <f t="shared" si="123"/>
        <v>2</v>
      </c>
      <c r="H519" s="266">
        <f t="shared" si="124"/>
        <v>2</v>
      </c>
      <c r="I519" s="312">
        <f t="shared" si="125"/>
        <v>1.2456</v>
      </c>
      <c r="J519" s="312">
        <f t="shared" si="126"/>
        <v>1.4002399999999999</v>
      </c>
      <c r="K519" s="312">
        <f t="shared" si="127"/>
        <v>1.74116</v>
      </c>
      <c r="L519" s="204">
        <f t="shared" si="128"/>
        <v>8.046576</v>
      </c>
      <c r="M519" s="204">
        <f t="shared" si="129"/>
        <v>9.0455503999999998</v>
      </c>
      <c r="N519" s="204">
        <f t="shared" si="130"/>
        <v>11.247893599999999</v>
      </c>
    </row>
    <row r="520" spans="1:14" x14ac:dyDescent="0.25">
      <c r="A520" s="271">
        <v>5</v>
      </c>
      <c r="B520" s="272">
        <f t="shared" si="120"/>
        <v>67.376470588235293</v>
      </c>
      <c r="C520" s="273">
        <f t="shared" si="121"/>
        <v>67.376470588235293</v>
      </c>
      <c r="D520" s="273">
        <f t="shared" si="131"/>
        <v>67.376470588235293</v>
      </c>
      <c r="E520" s="273">
        <f t="shared" si="132"/>
        <v>67.376470588235293</v>
      </c>
      <c r="F520" s="266">
        <f t="shared" si="122"/>
        <v>4</v>
      </c>
      <c r="G520" s="266">
        <f t="shared" si="123"/>
        <v>2</v>
      </c>
      <c r="H520" s="266">
        <f t="shared" si="124"/>
        <v>2</v>
      </c>
      <c r="I520" s="312">
        <f t="shared" si="125"/>
        <v>1.2456</v>
      </c>
      <c r="J520" s="312">
        <f t="shared" si="126"/>
        <v>1.4002399999999999</v>
      </c>
      <c r="K520" s="312">
        <f t="shared" si="127"/>
        <v>1.74116</v>
      </c>
      <c r="L520" s="204">
        <f t="shared" si="128"/>
        <v>8.046576</v>
      </c>
      <c r="M520" s="204">
        <f t="shared" si="129"/>
        <v>9.0455503999999998</v>
      </c>
      <c r="N520" s="204">
        <f t="shared" si="130"/>
        <v>11.247893599999999</v>
      </c>
    </row>
    <row r="521" spans="1:14" x14ac:dyDescent="0.25">
      <c r="A521" s="271">
        <v>6</v>
      </c>
      <c r="B521" s="272">
        <f t="shared" si="120"/>
        <v>67.376470588235293</v>
      </c>
      <c r="C521" s="273">
        <f t="shared" si="121"/>
        <v>67.376470588235293</v>
      </c>
      <c r="D521" s="273">
        <f t="shared" si="131"/>
        <v>67.376470588235293</v>
      </c>
      <c r="E521" s="273">
        <f t="shared" si="132"/>
        <v>67.376470588235293</v>
      </c>
      <c r="F521" s="266">
        <f t="shared" si="122"/>
        <v>4</v>
      </c>
      <c r="G521" s="266">
        <f t="shared" si="123"/>
        <v>2</v>
      </c>
      <c r="H521" s="266">
        <f t="shared" si="124"/>
        <v>2</v>
      </c>
      <c r="I521" s="312">
        <f t="shared" si="125"/>
        <v>1.2456</v>
      </c>
      <c r="J521" s="312">
        <f t="shared" si="126"/>
        <v>1.4002399999999999</v>
      </c>
      <c r="K521" s="312">
        <f t="shared" si="127"/>
        <v>1.74116</v>
      </c>
      <c r="L521" s="204">
        <f t="shared" si="128"/>
        <v>8.046576</v>
      </c>
      <c r="M521" s="204">
        <f t="shared" si="129"/>
        <v>9.0455503999999998</v>
      </c>
      <c r="N521" s="204">
        <f t="shared" si="130"/>
        <v>11.247893599999999</v>
      </c>
    </row>
    <row r="522" spans="1:14" x14ac:dyDescent="0.25">
      <c r="A522" s="271">
        <v>7</v>
      </c>
      <c r="B522" s="272">
        <f t="shared" si="120"/>
        <v>67.376470588235293</v>
      </c>
      <c r="C522" s="273">
        <f t="shared" si="121"/>
        <v>67.376470588235293</v>
      </c>
      <c r="D522" s="273">
        <f t="shared" si="131"/>
        <v>67.376470588235293</v>
      </c>
      <c r="E522" s="273">
        <f t="shared" si="132"/>
        <v>67.376470588235293</v>
      </c>
      <c r="F522" s="266">
        <f t="shared" si="122"/>
        <v>4</v>
      </c>
      <c r="G522" s="266">
        <f t="shared" si="123"/>
        <v>2</v>
      </c>
      <c r="H522" s="266">
        <f t="shared" si="124"/>
        <v>2</v>
      </c>
      <c r="I522" s="312">
        <f t="shared" si="125"/>
        <v>1.2456</v>
      </c>
      <c r="J522" s="312">
        <f t="shared" si="126"/>
        <v>1.4002399999999999</v>
      </c>
      <c r="K522" s="312">
        <f t="shared" si="127"/>
        <v>1.74116</v>
      </c>
      <c r="L522" s="204">
        <f t="shared" si="128"/>
        <v>8.046576</v>
      </c>
      <c r="M522" s="204">
        <f t="shared" si="129"/>
        <v>9.0455503999999998</v>
      </c>
      <c r="N522" s="204">
        <f t="shared" si="130"/>
        <v>11.247893599999999</v>
      </c>
    </row>
    <row r="523" spans="1:14" x14ac:dyDescent="0.25">
      <c r="A523" s="271">
        <v>8</v>
      </c>
      <c r="B523" s="272">
        <f t="shared" si="120"/>
        <v>67.376470588235293</v>
      </c>
      <c r="C523" s="273">
        <f t="shared" si="121"/>
        <v>67.376470588235293</v>
      </c>
      <c r="D523" s="273">
        <f t="shared" si="131"/>
        <v>67.376470588235293</v>
      </c>
      <c r="E523" s="273">
        <f t="shared" si="132"/>
        <v>67.376470588235293</v>
      </c>
      <c r="F523" s="266">
        <f t="shared" si="122"/>
        <v>4</v>
      </c>
      <c r="G523" s="266">
        <f t="shared" si="123"/>
        <v>2</v>
      </c>
      <c r="H523" s="266">
        <f t="shared" si="124"/>
        <v>2</v>
      </c>
      <c r="I523" s="312">
        <f t="shared" si="125"/>
        <v>1.2456</v>
      </c>
      <c r="J523" s="312">
        <f t="shared" si="126"/>
        <v>1.4002399999999999</v>
      </c>
      <c r="K523" s="312">
        <f t="shared" si="127"/>
        <v>1.74116</v>
      </c>
      <c r="L523" s="204">
        <f t="shared" si="128"/>
        <v>8.046576</v>
      </c>
      <c r="M523" s="204">
        <f t="shared" si="129"/>
        <v>9.0455503999999998</v>
      </c>
      <c r="N523" s="204">
        <f t="shared" si="130"/>
        <v>11.247893599999999</v>
      </c>
    </row>
    <row r="524" spans="1:14" x14ac:dyDescent="0.25">
      <c r="A524" s="271">
        <v>9</v>
      </c>
      <c r="B524" s="272">
        <f t="shared" si="120"/>
        <v>67.376470588235293</v>
      </c>
      <c r="C524" s="273">
        <f t="shared" si="121"/>
        <v>67.376470588235293</v>
      </c>
      <c r="D524" s="273">
        <f t="shared" si="131"/>
        <v>67.376470588235293</v>
      </c>
      <c r="E524" s="273">
        <f t="shared" si="132"/>
        <v>67.376470588235293</v>
      </c>
      <c r="F524" s="266">
        <f t="shared" si="122"/>
        <v>4</v>
      </c>
      <c r="G524" s="266">
        <f t="shared" si="123"/>
        <v>2</v>
      </c>
      <c r="H524" s="266">
        <f t="shared" si="124"/>
        <v>2</v>
      </c>
      <c r="I524" s="312">
        <f t="shared" si="125"/>
        <v>1.2456</v>
      </c>
      <c r="J524" s="312">
        <f t="shared" si="126"/>
        <v>1.4002399999999999</v>
      </c>
      <c r="K524" s="312">
        <f t="shared" si="127"/>
        <v>1.74116</v>
      </c>
      <c r="L524" s="204">
        <f t="shared" si="128"/>
        <v>8.046576</v>
      </c>
      <c r="M524" s="204">
        <f t="shared" si="129"/>
        <v>9.0455503999999998</v>
      </c>
      <c r="N524" s="204">
        <f t="shared" si="130"/>
        <v>11.247893599999999</v>
      </c>
    </row>
    <row r="525" spans="1:14" x14ac:dyDescent="0.25">
      <c r="A525" s="271">
        <v>10</v>
      </c>
      <c r="B525" s="272">
        <f t="shared" si="120"/>
        <v>67.376470588235293</v>
      </c>
      <c r="C525" s="273">
        <f t="shared" si="121"/>
        <v>67.376470588235293</v>
      </c>
      <c r="D525" s="273">
        <f t="shared" si="131"/>
        <v>67.376470588235293</v>
      </c>
      <c r="E525" s="273">
        <f t="shared" si="132"/>
        <v>67.376470588235293</v>
      </c>
      <c r="F525" s="266">
        <f t="shared" si="122"/>
        <v>4</v>
      </c>
      <c r="G525" s="266">
        <f t="shared" si="123"/>
        <v>2</v>
      </c>
      <c r="H525" s="266">
        <f t="shared" si="124"/>
        <v>2</v>
      </c>
      <c r="I525" s="312">
        <f t="shared" si="125"/>
        <v>1.2456</v>
      </c>
      <c r="J525" s="312">
        <f t="shared" si="126"/>
        <v>1.4002399999999999</v>
      </c>
      <c r="K525" s="312">
        <f t="shared" si="127"/>
        <v>1.74116</v>
      </c>
      <c r="L525" s="204">
        <f t="shared" si="128"/>
        <v>8.046576</v>
      </c>
      <c r="M525" s="204">
        <f t="shared" si="129"/>
        <v>9.0455503999999998</v>
      </c>
      <c r="N525" s="204">
        <f t="shared" si="130"/>
        <v>11.247893599999999</v>
      </c>
    </row>
    <row r="526" spans="1:14" x14ac:dyDescent="0.25">
      <c r="A526" s="271">
        <v>11</v>
      </c>
      <c r="B526" s="272">
        <f t="shared" si="120"/>
        <v>67.376470588235293</v>
      </c>
      <c r="C526" s="273">
        <f t="shared" si="121"/>
        <v>67.376470588235293</v>
      </c>
      <c r="D526" s="273">
        <f t="shared" si="131"/>
        <v>67.376470588235293</v>
      </c>
      <c r="E526" s="273">
        <f t="shared" si="132"/>
        <v>67.376470588235293</v>
      </c>
      <c r="F526" s="266">
        <f t="shared" si="122"/>
        <v>4</v>
      </c>
      <c r="G526" s="266">
        <f t="shared" si="123"/>
        <v>2</v>
      </c>
      <c r="H526" s="266">
        <f t="shared" si="124"/>
        <v>2</v>
      </c>
      <c r="I526" s="312">
        <f t="shared" si="125"/>
        <v>1.2456</v>
      </c>
      <c r="J526" s="312">
        <f t="shared" si="126"/>
        <v>1.4002399999999999</v>
      </c>
      <c r="K526" s="312">
        <f t="shared" si="127"/>
        <v>1.74116</v>
      </c>
      <c r="L526" s="204">
        <f t="shared" si="128"/>
        <v>8.046576</v>
      </c>
      <c r="M526" s="204">
        <f t="shared" si="129"/>
        <v>9.0455503999999998</v>
      </c>
      <c r="N526" s="204">
        <f t="shared" si="130"/>
        <v>11.247893599999999</v>
      </c>
    </row>
    <row r="527" spans="1:14" x14ac:dyDescent="0.25">
      <c r="A527" s="271">
        <v>12</v>
      </c>
      <c r="B527" s="272">
        <f t="shared" si="120"/>
        <v>67.376470588235293</v>
      </c>
      <c r="C527" s="273">
        <f t="shared" si="121"/>
        <v>67.376470588235293</v>
      </c>
      <c r="D527" s="273">
        <f t="shared" si="131"/>
        <v>67.376470588235293</v>
      </c>
      <c r="E527" s="273">
        <f t="shared" si="132"/>
        <v>67.376470588235293</v>
      </c>
      <c r="F527" s="266">
        <f t="shared" si="122"/>
        <v>4</v>
      </c>
      <c r="G527" s="266">
        <f t="shared" si="123"/>
        <v>2</v>
      </c>
      <c r="H527" s="266">
        <f t="shared" si="124"/>
        <v>2</v>
      </c>
      <c r="I527" s="312">
        <f t="shared" si="125"/>
        <v>1.2456</v>
      </c>
      <c r="J527" s="312">
        <f t="shared" si="126"/>
        <v>1.4002399999999999</v>
      </c>
      <c r="K527" s="312">
        <f t="shared" si="127"/>
        <v>1.74116</v>
      </c>
      <c r="L527" s="204">
        <f t="shared" si="128"/>
        <v>8.046576</v>
      </c>
      <c r="M527" s="204">
        <f t="shared" si="129"/>
        <v>9.0455503999999998</v>
      </c>
      <c r="N527" s="204">
        <f t="shared" si="130"/>
        <v>11.247893599999999</v>
      </c>
    </row>
    <row r="528" spans="1:14" x14ac:dyDescent="0.25">
      <c r="A528" s="271">
        <v>13</v>
      </c>
      <c r="B528" s="272">
        <f t="shared" si="120"/>
        <v>67.376470588235293</v>
      </c>
      <c r="C528" s="273">
        <f t="shared" si="121"/>
        <v>67.376470588235293</v>
      </c>
      <c r="D528" s="273">
        <f t="shared" si="131"/>
        <v>67.376470588235293</v>
      </c>
      <c r="E528" s="273">
        <f t="shared" si="132"/>
        <v>67.376470588235293</v>
      </c>
      <c r="F528" s="266">
        <f t="shared" si="122"/>
        <v>4</v>
      </c>
      <c r="G528" s="266">
        <f t="shared" si="123"/>
        <v>2</v>
      </c>
      <c r="H528" s="266">
        <f t="shared" si="124"/>
        <v>2</v>
      </c>
      <c r="I528" s="312">
        <f t="shared" si="125"/>
        <v>1.2456</v>
      </c>
      <c r="J528" s="312">
        <f t="shared" si="126"/>
        <v>1.4002399999999999</v>
      </c>
      <c r="K528" s="312">
        <f t="shared" si="127"/>
        <v>1.74116</v>
      </c>
      <c r="L528" s="204">
        <f t="shared" si="128"/>
        <v>8.046576</v>
      </c>
      <c r="M528" s="204">
        <f t="shared" si="129"/>
        <v>9.0455503999999998</v>
      </c>
      <c r="N528" s="204">
        <f t="shared" si="130"/>
        <v>11.247893599999999</v>
      </c>
    </row>
    <row r="529" spans="1:14" x14ac:dyDescent="0.25">
      <c r="A529" s="271">
        <v>14</v>
      </c>
      <c r="B529" s="272">
        <f t="shared" si="120"/>
        <v>64.941176470588232</v>
      </c>
      <c r="C529" s="273">
        <f t="shared" si="121"/>
        <v>64.941176470588232</v>
      </c>
      <c r="D529" s="273">
        <f t="shared" si="131"/>
        <v>64.941176470588232</v>
      </c>
      <c r="E529" s="273">
        <f t="shared" si="132"/>
        <v>64.941176470588232</v>
      </c>
      <c r="F529" s="266">
        <f t="shared" si="122"/>
        <v>5</v>
      </c>
      <c r="G529" s="266">
        <f t="shared" si="123"/>
        <v>2</v>
      </c>
      <c r="H529" s="266">
        <f t="shared" si="124"/>
        <v>2</v>
      </c>
      <c r="I529" s="312">
        <f t="shared" si="125"/>
        <v>1.3087499999999999</v>
      </c>
      <c r="J529" s="312">
        <f t="shared" si="126"/>
        <v>1.4002399999999999</v>
      </c>
      <c r="K529" s="312">
        <f t="shared" si="127"/>
        <v>1.74116</v>
      </c>
      <c r="L529" s="204">
        <f t="shared" si="128"/>
        <v>8.4545249999999985</v>
      </c>
      <c r="M529" s="204">
        <f t="shared" si="129"/>
        <v>9.0455503999999998</v>
      </c>
      <c r="N529" s="204">
        <f t="shared" si="130"/>
        <v>11.247893599999999</v>
      </c>
    </row>
    <row r="530" spans="1:14" x14ac:dyDescent="0.25">
      <c r="A530" s="271">
        <v>15</v>
      </c>
      <c r="B530" s="272">
        <f t="shared" si="120"/>
        <v>64.941176470588232</v>
      </c>
      <c r="C530" s="273">
        <f t="shared" si="121"/>
        <v>64.941176470588232</v>
      </c>
      <c r="D530" s="273">
        <f t="shared" si="131"/>
        <v>64.941176470588232</v>
      </c>
      <c r="E530" s="273">
        <f t="shared" si="132"/>
        <v>64.941176470588232</v>
      </c>
      <c r="F530" s="266">
        <f t="shared" si="122"/>
        <v>5</v>
      </c>
      <c r="G530" s="266">
        <f t="shared" si="123"/>
        <v>2</v>
      </c>
      <c r="H530" s="266">
        <f t="shared" si="124"/>
        <v>2</v>
      </c>
      <c r="I530" s="312">
        <f t="shared" si="125"/>
        <v>1.3087499999999999</v>
      </c>
      <c r="J530" s="312">
        <f t="shared" si="126"/>
        <v>1.4002399999999999</v>
      </c>
      <c r="K530" s="312">
        <f t="shared" si="127"/>
        <v>1.74116</v>
      </c>
      <c r="L530" s="204">
        <f t="shared" si="128"/>
        <v>8.4545249999999985</v>
      </c>
      <c r="M530" s="204">
        <f t="shared" si="129"/>
        <v>9.0455503999999998</v>
      </c>
      <c r="N530" s="204">
        <f t="shared" si="130"/>
        <v>11.247893599999999</v>
      </c>
    </row>
    <row r="531" spans="1:14" x14ac:dyDescent="0.25">
      <c r="A531" s="271">
        <v>16</v>
      </c>
      <c r="B531" s="272">
        <f t="shared" si="120"/>
        <v>64.941176470588232</v>
      </c>
      <c r="C531" s="273">
        <f t="shared" si="121"/>
        <v>64.941176470588232</v>
      </c>
      <c r="D531" s="273">
        <f t="shared" si="131"/>
        <v>64.941176470588232</v>
      </c>
      <c r="E531" s="273">
        <f t="shared" si="132"/>
        <v>64.941176470588232</v>
      </c>
      <c r="F531" s="266">
        <f t="shared" si="122"/>
        <v>5</v>
      </c>
      <c r="G531" s="266">
        <f t="shared" si="123"/>
        <v>2</v>
      </c>
      <c r="H531" s="266">
        <f t="shared" si="124"/>
        <v>2</v>
      </c>
      <c r="I531" s="312">
        <f t="shared" si="125"/>
        <v>1.3087499999999999</v>
      </c>
      <c r="J531" s="312">
        <f t="shared" si="126"/>
        <v>1.4002399999999999</v>
      </c>
      <c r="K531" s="312">
        <f t="shared" si="127"/>
        <v>1.74116</v>
      </c>
      <c r="L531" s="204">
        <f t="shared" si="128"/>
        <v>8.4545249999999985</v>
      </c>
      <c r="M531" s="204">
        <f t="shared" si="129"/>
        <v>9.0455503999999998</v>
      </c>
      <c r="N531" s="204">
        <f t="shared" si="130"/>
        <v>11.247893599999999</v>
      </c>
    </row>
    <row r="532" spans="1:14" x14ac:dyDescent="0.25">
      <c r="A532" s="271">
        <v>17</v>
      </c>
      <c r="B532" s="272">
        <f t="shared" si="120"/>
        <v>64.941176470588232</v>
      </c>
      <c r="C532" s="273">
        <f t="shared" si="121"/>
        <v>64.941176470588232</v>
      </c>
      <c r="D532" s="273">
        <f t="shared" si="131"/>
        <v>64.941176470588232</v>
      </c>
      <c r="E532" s="273">
        <f t="shared" si="132"/>
        <v>64.941176470588232</v>
      </c>
      <c r="F532" s="266">
        <f t="shared" si="122"/>
        <v>5</v>
      </c>
      <c r="G532" s="266">
        <f t="shared" si="123"/>
        <v>2</v>
      </c>
      <c r="H532" s="266">
        <f t="shared" si="124"/>
        <v>2</v>
      </c>
      <c r="I532" s="312">
        <f t="shared" si="125"/>
        <v>1.3087499999999999</v>
      </c>
      <c r="J532" s="312">
        <f t="shared" si="126"/>
        <v>1.4002399999999999</v>
      </c>
      <c r="K532" s="312">
        <f t="shared" si="127"/>
        <v>1.74116</v>
      </c>
      <c r="L532" s="204">
        <f t="shared" si="128"/>
        <v>8.4545249999999985</v>
      </c>
      <c r="M532" s="204">
        <f t="shared" si="129"/>
        <v>9.0455503999999998</v>
      </c>
      <c r="N532" s="204">
        <f t="shared" si="130"/>
        <v>11.247893599999999</v>
      </c>
    </row>
    <row r="533" spans="1:14" x14ac:dyDescent="0.25">
      <c r="A533" s="271">
        <v>18</v>
      </c>
      <c r="B533" s="272">
        <f t="shared" si="120"/>
        <v>64.941176470588232</v>
      </c>
      <c r="C533" s="273">
        <f t="shared" si="121"/>
        <v>64.941176470588232</v>
      </c>
      <c r="D533" s="273">
        <f t="shared" si="131"/>
        <v>64.941176470588232</v>
      </c>
      <c r="E533" s="273">
        <f t="shared" si="132"/>
        <v>64.941176470588232</v>
      </c>
      <c r="F533" s="266">
        <f t="shared" si="122"/>
        <v>5</v>
      </c>
      <c r="G533" s="266">
        <f t="shared" si="123"/>
        <v>2</v>
      </c>
      <c r="H533" s="266">
        <f t="shared" si="124"/>
        <v>2</v>
      </c>
      <c r="I533" s="312">
        <f t="shared" si="125"/>
        <v>1.3087499999999999</v>
      </c>
      <c r="J533" s="312">
        <f t="shared" si="126"/>
        <v>1.4002399999999999</v>
      </c>
      <c r="K533" s="312">
        <f t="shared" si="127"/>
        <v>1.74116</v>
      </c>
      <c r="L533" s="204">
        <f t="shared" si="128"/>
        <v>8.4545249999999985</v>
      </c>
      <c r="M533" s="204">
        <f t="shared" si="129"/>
        <v>9.0455503999999998</v>
      </c>
      <c r="N533" s="204">
        <f t="shared" si="130"/>
        <v>11.247893599999999</v>
      </c>
    </row>
    <row r="534" spans="1:14" x14ac:dyDescent="0.25">
      <c r="A534" s="271">
        <v>19</v>
      </c>
      <c r="B534" s="272">
        <f t="shared" si="120"/>
        <v>64.941176470588232</v>
      </c>
      <c r="C534" s="273">
        <f t="shared" si="121"/>
        <v>64.941176470588232</v>
      </c>
      <c r="D534" s="273">
        <f t="shared" si="131"/>
        <v>64.941176470588232</v>
      </c>
      <c r="E534" s="273">
        <f t="shared" si="132"/>
        <v>64.941176470588232</v>
      </c>
      <c r="F534" s="266">
        <f t="shared" si="122"/>
        <v>5</v>
      </c>
      <c r="G534" s="266">
        <f t="shared" si="123"/>
        <v>2</v>
      </c>
      <c r="H534" s="266">
        <f t="shared" si="124"/>
        <v>2</v>
      </c>
      <c r="I534" s="312">
        <f t="shared" si="125"/>
        <v>1.3087499999999999</v>
      </c>
      <c r="J534" s="312">
        <f t="shared" si="126"/>
        <v>1.4002399999999999</v>
      </c>
      <c r="K534" s="312">
        <f t="shared" si="127"/>
        <v>1.74116</v>
      </c>
      <c r="L534" s="204">
        <f t="shared" si="128"/>
        <v>8.4545249999999985</v>
      </c>
      <c r="M534" s="204">
        <f t="shared" si="129"/>
        <v>9.0455503999999998</v>
      </c>
      <c r="N534" s="204">
        <f t="shared" si="130"/>
        <v>11.247893599999999</v>
      </c>
    </row>
    <row r="535" spans="1:14" x14ac:dyDescent="0.25">
      <c r="A535" s="271">
        <v>20</v>
      </c>
      <c r="B535" s="272">
        <f t="shared" si="120"/>
        <v>64.941176470588232</v>
      </c>
      <c r="C535" s="273">
        <f t="shared" si="121"/>
        <v>64.941176470588232</v>
      </c>
      <c r="D535" s="273">
        <f t="shared" si="131"/>
        <v>64.941176470588232</v>
      </c>
      <c r="E535" s="273">
        <f t="shared" si="132"/>
        <v>64.941176470588232</v>
      </c>
      <c r="F535" s="266">
        <f t="shared" si="122"/>
        <v>5</v>
      </c>
      <c r="G535" s="266">
        <f t="shared" si="123"/>
        <v>2</v>
      </c>
      <c r="H535" s="266">
        <f t="shared" si="124"/>
        <v>2</v>
      </c>
      <c r="I535" s="312">
        <f t="shared" si="125"/>
        <v>1.3087499999999999</v>
      </c>
      <c r="J535" s="312">
        <f t="shared" si="126"/>
        <v>1.4002399999999999</v>
      </c>
      <c r="K535" s="312">
        <f t="shared" si="127"/>
        <v>1.74116</v>
      </c>
      <c r="L535" s="204">
        <f t="shared" si="128"/>
        <v>8.4545249999999985</v>
      </c>
      <c r="M535" s="204">
        <f t="shared" si="129"/>
        <v>9.0455503999999998</v>
      </c>
      <c r="N535" s="204">
        <f t="shared" si="130"/>
        <v>11.247893599999999</v>
      </c>
    </row>
    <row r="536" spans="1:14" x14ac:dyDescent="0.25">
      <c r="A536" s="271">
        <v>21</v>
      </c>
      <c r="B536" s="272">
        <f t="shared" si="120"/>
        <v>64.941176470588232</v>
      </c>
      <c r="C536" s="273">
        <f t="shared" si="121"/>
        <v>64.941176470588232</v>
      </c>
      <c r="D536" s="273">
        <f t="shared" si="131"/>
        <v>64.941176470588232</v>
      </c>
      <c r="E536" s="273">
        <f t="shared" si="132"/>
        <v>64.941176470588232</v>
      </c>
      <c r="F536" s="266">
        <f t="shared" si="122"/>
        <v>5</v>
      </c>
      <c r="G536" s="266">
        <f t="shared" si="123"/>
        <v>2</v>
      </c>
      <c r="H536" s="266">
        <f t="shared" si="124"/>
        <v>2</v>
      </c>
      <c r="I536" s="312">
        <f t="shared" si="125"/>
        <v>1.3087499999999999</v>
      </c>
      <c r="J536" s="312">
        <f t="shared" si="126"/>
        <v>1.4002399999999999</v>
      </c>
      <c r="K536" s="312">
        <f t="shared" si="127"/>
        <v>1.74116</v>
      </c>
      <c r="L536" s="204">
        <f t="shared" si="128"/>
        <v>8.4545249999999985</v>
      </c>
      <c r="M536" s="204">
        <f t="shared" si="129"/>
        <v>9.0455503999999998</v>
      </c>
      <c r="N536" s="204">
        <f t="shared" si="130"/>
        <v>11.247893599999999</v>
      </c>
    </row>
    <row r="537" spans="1:14" x14ac:dyDescent="0.25">
      <c r="A537" s="271">
        <v>22</v>
      </c>
      <c r="B537" s="272">
        <f t="shared" si="120"/>
        <v>64.941176470588232</v>
      </c>
      <c r="C537" s="273">
        <f t="shared" si="121"/>
        <v>64.941176470588232</v>
      </c>
      <c r="D537" s="273">
        <f t="shared" si="131"/>
        <v>64.941176470588232</v>
      </c>
      <c r="E537" s="273">
        <f t="shared" si="132"/>
        <v>64.941176470588232</v>
      </c>
      <c r="F537" s="266">
        <f t="shared" si="122"/>
        <v>5</v>
      </c>
      <c r="G537" s="266">
        <f t="shared" si="123"/>
        <v>2</v>
      </c>
      <c r="H537" s="266">
        <f t="shared" si="124"/>
        <v>2</v>
      </c>
      <c r="I537" s="312">
        <f t="shared" si="125"/>
        <v>1.3087499999999999</v>
      </c>
      <c r="J537" s="312">
        <f t="shared" si="126"/>
        <v>1.4002399999999999</v>
      </c>
      <c r="K537" s="312">
        <f t="shared" si="127"/>
        <v>1.74116</v>
      </c>
      <c r="L537" s="204">
        <f t="shared" si="128"/>
        <v>8.4545249999999985</v>
      </c>
      <c r="M537" s="204">
        <f t="shared" si="129"/>
        <v>9.0455503999999998</v>
      </c>
      <c r="N537" s="204">
        <f t="shared" si="130"/>
        <v>11.247893599999999</v>
      </c>
    </row>
    <row r="538" spans="1:14" x14ac:dyDescent="0.25">
      <c r="A538" s="271">
        <v>23</v>
      </c>
      <c r="B538" s="272">
        <f t="shared" si="120"/>
        <v>64.941176470588232</v>
      </c>
      <c r="C538" s="273">
        <f t="shared" si="121"/>
        <v>64.941176470588232</v>
      </c>
      <c r="D538" s="273">
        <f t="shared" si="131"/>
        <v>64.941176470588232</v>
      </c>
      <c r="E538" s="273">
        <f t="shared" si="132"/>
        <v>64.941176470588232</v>
      </c>
      <c r="F538" s="266">
        <f t="shared" si="122"/>
        <v>5</v>
      </c>
      <c r="G538" s="266">
        <f t="shared" si="123"/>
        <v>2</v>
      </c>
      <c r="H538" s="266">
        <f t="shared" si="124"/>
        <v>2</v>
      </c>
      <c r="I538" s="312">
        <f t="shared" si="125"/>
        <v>1.3087499999999999</v>
      </c>
      <c r="J538" s="312">
        <f t="shared" si="126"/>
        <v>1.4002399999999999</v>
      </c>
      <c r="K538" s="312">
        <f t="shared" si="127"/>
        <v>1.74116</v>
      </c>
      <c r="L538" s="204">
        <f t="shared" si="128"/>
        <v>8.4545249999999985</v>
      </c>
      <c r="M538" s="204">
        <f t="shared" si="129"/>
        <v>9.0455503999999998</v>
      </c>
      <c r="N538" s="204">
        <f t="shared" si="130"/>
        <v>11.247893599999999</v>
      </c>
    </row>
    <row r="539" spans="1:14" x14ac:dyDescent="0.25">
      <c r="A539" s="271">
        <v>24</v>
      </c>
      <c r="B539" s="272">
        <f t="shared" si="120"/>
        <v>64.941176470588232</v>
      </c>
      <c r="C539" s="273">
        <f t="shared" si="121"/>
        <v>64.941176470588232</v>
      </c>
      <c r="D539" s="273">
        <f t="shared" si="131"/>
        <v>64.941176470588232</v>
      </c>
      <c r="E539" s="273">
        <f t="shared" si="132"/>
        <v>64.941176470588232</v>
      </c>
      <c r="F539" s="266">
        <f t="shared" si="122"/>
        <v>5</v>
      </c>
      <c r="G539" s="266">
        <f t="shared" si="123"/>
        <v>2</v>
      </c>
      <c r="H539" s="266">
        <f t="shared" si="124"/>
        <v>2</v>
      </c>
      <c r="I539" s="312">
        <f t="shared" si="125"/>
        <v>1.3087499999999999</v>
      </c>
      <c r="J539" s="312">
        <f t="shared" si="126"/>
        <v>1.4002399999999999</v>
      </c>
      <c r="K539" s="312">
        <f t="shared" si="127"/>
        <v>1.74116</v>
      </c>
      <c r="L539" s="204">
        <f t="shared" si="128"/>
        <v>8.4545249999999985</v>
      </c>
      <c r="M539" s="204">
        <f t="shared" si="129"/>
        <v>9.0455503999999998</v>
      </c>
      <c r="N539" s="204">
        <f t="shared" si="130"/>
        <v>11.247893599999999</v>
      </c>
    </row>
    <row r="540" spans="1:14" x14ac:dyDescent="0.25">
      <c r="A540" s="271">
        <v>25</v>
      </c>
      <c r="B540" s="272">
        <f t="shared" si="120"/>
        <v>64.941176470588232</v>
      </c>
      <c r="C540" s="273">
        <f t="shared" si="121"/>
        <v>64.941176470588232</v>
      </c>
      <c r="D540" s="273">
        <f t="shared" si="131"/>
        <v>64.941176470588232</v>
      </c>
      <c r="E540" s="273">
        <f t="shared" si="132"/>
        <v>64.941176470588232</v>
      </c>
      <c r="F540" s="266">
        <f t="shared" si="122"/>
        <v>5</v>
      </c>
      <c r="G540" s="266">
        <f t="shared" si="123"/>
        <v>2</v>
      </c>
      <c r="H540" s="266">
        <f t="shared" si="124"/>
        <v>2</v>
      </c>
      <c r="I540" s="312">
        <f t="shared" si="125"/>
        <v>1.3087499999999999</v>
      </c>
      <c r="J540" s="312">
        <f t="shared" si="126"/>
        <v>1.4002399999999999</v>
      </c>
      <c r="K540" s="312">
        <f t="shared" si="127"/>
        <v>1.74116</v>
      </c>
      <c r="L540" s="204">
        <f t="shared" si="128"/>
        <v>8.4545249999999985</v>
      </c>
      <c r="M540" s="204">
        <f t="shared" si="129"/>
        <v>9.0455503999999998</v>
      </c>
      <c r="N540" s="204">
        <f t="shared" si="130"/>
        <v>11.247893599999999</v>
      </c>
    </row>
    <row r="541" spans="1:14" x14ac:dyDescent="0.25">
      <c r="A541" s="271">
        <v>26</v>
      </c>
      <c r="B541" s="272">
        <f t="shared" si="120"/>
        <v>64.941176470588232</v>
      </c>
      <c r="C541" s="273">
        <f t="shared" si="121"/>
        <v>64.941176470588232</v>
      </c>
      <c r="D541" s="273">
        <f t="shared" si="131"/>
        <v>64.941176470588232</v>
      </c>
      <c r="E541" s="273">
        <f t="shared" si="132"/>
        <v>64.941176470588232</v>
      </c>
      <c r="F541" s="266">
        <f t="shared" si="122"/>
        <v>5</v>
      </c>
      <c r="G541" s="266">
        <f t="shared" si="123"/>
        <v>2</v>
      </c>
      <c r="H541" s="266">
        <f t="shared" si="124"/>
        <v>2</v>
      </c>
      <c r="I541" s="312">
        <f t="shared" si="125"/>
        <v>1.3087499999999999</v>
      </c>
      <c r="J541" s="312">
        <f t="shared" si="126"/>
        <v>1.4002399999999999</v>
      </c>
      <c r="K541" s="312">
        <f t="shared" si="127"/>
        <v>1.74116</v>
      </c>
      <c r="L541" s="204">
        <f t="shared" si="128"/>
        <v>8.4545249999999985</v>
      </c>
      <c r="M541" s="204">
        <f t="shared" si="129"/>
        <v>9.0455503999999998</v>
      </c>
      <c r="N541" s="204">
        <f t="shared" si="130"/>
        <v>11.247893599999999</v>
      </c>
    </row>
    <row r="542" spans="1:14" x14ac:dyDescent="0.25">
      <c r="A542" s="271">
        <v>27</v>
      </c>
      <c r="B542" s="272">
        <f t="shared" si="120"/>
        <v>64.941176470588232</v>
      </c>
      <c r="C542" s="273">
        <f t="shared" si="121"/>
        <v>64.941176470588232</v>
      </c>
      <c r="D542" s="273">
        <f t="shared" si="131"/>
        <v>64.941176470588232</v>
      </c>
      <c r="E542" s="273">
        <f t="shared" si="132"/>
        <v>64.941176470588232</v>
      </c>
      <c r="F542" s="266">
        <f t="shared" si="122"/>
        <v>5</v>
      </c>
      <c r="G542" s="266">
        <f t="shared" si="123"/>
        <v>2</v>
      </c>
      <c r="H542" s="266">
        <f t="shared" si="124"/>
        <v>2</v>
      </c>
      <c r="I542" s="312">
        <f t="shared" si="125"/>
        <v>1.3087499999999999</v>
      </c>
      <c r="J542" s="312">
        <f t="shared" si="126"/>
        <v>1.4002399999999999</v>
      </c>
      <c r="K542" s="312">
        <f t="shared" si="127"/>
        <v>1.74116</v>
      </c>
      <c r="L542" s="204">
        <f t="shared" si="128"/>
        <v>8.4545249999999985</v>
      </c>
      <c r="M542" s="204">
        <f t="shared" si="129"/>
        <v>9.0455503999999998</v>
      </c>
      <c r="N542" s="204">
        <f t="shared" si="130"/>
        <v>11.247893599999999</v>
      </c>
    </row>
    <row r="543" spans="1:14" x14ac:dyDescent="0.25">
      <c r="A543" s="271">
        <v>28</v>
      </c>
      <c r="B543" s="272">
        <f t="shared" si="120"/>
        <v>64.941176470588232</v>
      </c>
      <c r="C543" s="273">
        <f t="shared" si="121"/>
        <v>64.941176470588232</v>
      </c>
      <c r="D543" s="273">
        <f t="shared" si="131"/>
        <v>64.941176470588232</v>
      </c>
      <c r="E543" s="273">
        <f t="shared" si="132"/>
        <v>64.941176470588232</v>
      </c>
      <c r="F543" s="266">
        <f t="shared" si="122"/>
        <v>5</v>
      </c>
      <c r="G543" s="266">
        <f t="shared" si="123"/>
        <v>2</v>
      </c>
      <c r="H543" s="266">
        <f t="shared" si="124"/>
        <v>2</v>
      </c>
      <c r="I543" s="312">
        <f t="shared" si="125"/>
        <v>1.3087499999999999</v>
      </c>
      <c r="J543" s="312">
        <f t="shared" si="126"/>
        <v>1.4002399999999999</v>
      </c>
      <c r="K543" s="312">
        <f t="shared" si="127"/>
        <v>1.74116</v>
      </c>
      <c r="L543" s="204">
        <f t="shared" si="128"/>
        <v>8.4545249999999985</v>
      </c>
      <c r="M543" s="204">
        <f t="shared" si="129"/>
        <v>9.0455503999999998</v>
      </c>
      <c r="N543" s="204">
        <f t="shared" si="130"/>
        <v>11.247893599999999</v>
      </c>
    </row>
    <row r="544" spans="1:14" x14ac:dyDescent="0.25">
      <c r="A544" s="271">
        <v>29</v>
      </c>
      <c r="B544" s="272">
        <f t="shared" si="120"/>
        <v>64.941176470588232</v>
      </c>
      <c r="C544" s="273">
        <f t="shared" si="121"/>
        <v>64.941176470588232</v>
      </c>
      <c r="D544" s="273">
        <f t="shared" si="131"/>
        <v>64.941176470588232</v>
      </c>
      <c r="E544" s="273">
        <f t="shared" si="132"/>
        <v>64.941176470588232</v>
      </c>
      <c r="F544" s="266">
        <f t="shared" si="122"/>
        <v>5</v>
      </c>
      <c r="G544" s="266">
        <f t="shared" si="123"/>
        <v>2</v>
      </c>
      <c r="H544" s="266">
        <f t="shared" si="124"/>
        <v>2</v>
      </c>
      <c r="I544" s="312">
        <f t="shared" si="125"/>
        <v>1.3087499999999999</v>
      </c>
      <c r="J544" s="312">
        <f t="shared" si="126"/>
        <v>1.4002399999999999</v>
      </c>
      <c r="K544" s="312">
        <f t="shared" si="127"/>
        <v>1.74116</v>
      </c>
      <c r="L544" s="204">
        <f t="shared" si="128"/>
        <v>8.4545249999999985</v>
      </c>
      <c r="M544" s="204">
        <f t="shared" si="129"/>
        <v>9.0455503999999998</v>
      </c>
      <c r="N544" s="204">
        <f t="shared" si="130"/>
        <v>11.247893599999999</v>
      </c>
    </row>
    <row r="545" spans="1:14" x14ac:dyDescent="0.25">
      <c r="A545" s="271">
        <v>30</v>
      </c>
      <c r="B545" s="272">
        <f t="shared" si="120"/>
        <v>64.941176470588232</v>
      </c>
      <c r="C545" s="273">
        <f t="shared" si="121"/>
        <v>64.941176470588232</v>
      </c>
      <c r="D545" s="273">
        <f t="shared" si="131"/>
        <v>64.941176470588232</v>
      </c>
      <c r="E545" s="273">
        <f t="shared" si="132"/>
        <v>64.941176470588232</v>
      </c>
      <c r="F545" s="266">
        <f t="shared" si="122"/>
        <v>5</v>
      </c>
      <c r="G545" s="266">
        <f t="shared" si="123"/>
        <v>2</v>
      </c>
      <c r="H545" s="266">
        <f t="shared" si="124"/>
        <v>2</v>
      </c>
      <c r="I545" s="312">
        <f t="shared" si="125"/>
        <v>1.3087499999999999</v>
      </c>
      <c r="J545" s="312">
        <f t="shared" si="126"/>
        <v>1.4002399999999999</v>
      </c>
      <c r="K545" s="312">
        <f t="shared" si="127"/>
        <v>1.74116</v>
      </c>
      <c r="L545" s="204">
        <f t="shared" si="128"/>
        <v>8.4545249999999985</v>
      </c>
      <c r="M545" s="204">
        <f t="shared" si="129"/>
        <v>9.0455503999999998</v>
      </c>
      <c r="N545" s="204">
        <f t="shared" si="130"/>
        <v>11.247893599999999</v>
      </c>
    </row>
    <row r="546" spans="1:14" x14ac:dyDescent="0.25">
      <c r="A546" s="271">
        <v>31</v>
      </c>
      <c r="B546" s="272">
        <f t="shared" si="120"/>
        <v>64.941176470588232</v>
      </c>
      <c r="C546" s="273">
        <f t="shared" si="121"/>
        <v>64.941176470588232</v>
      </c>
      <c r="D546" s="273">
        <f>C546</f>
        <v>64.941176470588232</v>
      </c>
      <c r="E546" s="273">
        <f>D546</f>
        <v>64.941176470588232</v>
      </c>
      <c r="F546" s="266">
        <f t="shared" si="122"/>
        <v>5</v>
      </c>
      <c r="G546" s="266">
        <f t="shared" si="123"/>
        <v>2</v>
      </c>
      <c r="H546" s="266">
        <f t="shared" si="124"/>
        <v>2</v>
      </c>
      <c r="I546" s="312">
        <f>0.00015*(F546)^3-0.003*(F546)^2+0.081*(F546)+0.96</f>
        <v>1.3087499999999999</v>
      </c>
      <c r="J546" s="312">
        <f>0.00003*(G546)^3-0*(G546)^2+0.065*(G546)+1.27</f>
        <v>1.4002399999999999</v>
      </c>
      <c r="K546" s="312">
        <f>0.00002*(H546)^3-0*(H546)^2+0.069*(H546)+1.603</f>
        <v>1.74116</v>
      </c>
      <c r="L546" s="204">
        <f t="shared" ref="L546:N547" si="133">$B$512*I546</f>
        <v>8.4545249999999985</v>
      </c>
      <c r="M546" s="204">
        <f t="shared" si="133"/>
        <v>9.0455503999999998</v>
      </c>
      <c r="N546" s="204">
        <f t="shared" si="133"/>
        <v>11.247893599999999</v>
      </c>
    </row>
    <row r="547" spans="1:14" x14ac:dyDescent="0.25">
      <c r="A547" s="271">
        <v>32</v>
      </c>
      <c r="B547" s="272">
        <f t="shared" si="120"/>
        <v>64.941176470588232</v>
      </c>
      <c r="C547" s="273">
        <f t="shared" si="121"/>
        <v>64.941176470588232</v>
      </c>
      <c r="D547" s="273">
        <f>C547</f>
        <v>64.941176470588232</v>
      </c>
      <c r="E547" s="273">
        <f>D547</f>
        <v>64.941176470588232</v>
      </c>
      <c r="F547" s="266">
        <f t="shared" si="122"/>
        <v>5</v>
      </c>
      <c r="G547" s="266">
        <f t="shared" si="123"/>
        <v>2</v>
      </c>
      <c r="H547" s="266">
        <f t="shared" si="124"/>
        <v>2</v>
      </c>
      <c r="I547" s="312">
        <f>0.00015*(F547)^3-0.003*(F547)^2+0.081*(F547)+0.96</f>
        <v>1.3087499999999999</v>
      </c>
      <c r="J547" s="312">
        <f>0.00003*(G547)^3-0*(G547)^2+0.065*(G547)+1.27</f>
        <v>1.4002399999999999</v>
      </c>
      <c r="K547" s="312">
        <f>0.00002*(H547)^3-0*(H547)^2+0.069*(H547)+1.603</f>
        <v>1.74116</v>
      </c>
      <c r="L547" s="204">
        <f t="shared" si="133"/>
        <v>8.4545249999999985</v>
      </c>
      <c r="M547" s="204">
        <f t="shared" si="133"/>
        <v>9.0455503999999998</v>
      </c>
      <c r="N547" s="204">
        <f t="shared" si="133"/>
        <v>11.247893599999999</v>
      </c>
    </row>
    <row r="548" spans="1:14" x14ac:dyDescent="0.25">
      <c r="A548" s="239" t="s">
        <v>13</v>
      </c>
      <c r="B548" s="239"/>
    </row>
    <row r="549" spans="1:14" x14ac:dyDescent="0.25">
      <c r="A549" t="s">
        <v>275</v>
      </c>
      <c r="C549" t="s">
        <v>238</v>
      </c>
    </row>
    <row r="550" spans="1:14" x14ac:dyDescent="0.25">
      <c r="A550" s="43" t="s">
        <v>228</v>
      </c>
      <c r="B550" s="43">
        <f>B512</f>
        <v>6.46</v>
      </c>
    </row>
    <row r="551" spans="1:14" x14ac:dyDescent="0.25">
      <c r="A551" s="43" t="s">
        <v>99</v>
      </c>
      <c r="B551" s="169" t="str">
        <f>$B$57</f>
        <v>P</v>
      </c>
      <c r="C551" s="575" t="s">
        <v>229</v>
      </c>
      <c r="D551" s="575"/>
      <c r="E551" s="575"/>
      <c r="F551" s="575" t="s">
        <v>230</v>
      </c>
      <c r="G551" s="576"/>
      <c r="H551" s="576"/>
      <c r="I551" s="575" t="s">
        <v>231</v>
      </c>
      <c r="J551" s="575"/>
      <c r="K551" s="575"/>
      <c r="L551" s="575" t="s">
        <v>240</v>
      </c>
      <c r="M551" s="575"/>
      <c r="N551" s="575"/>
    </row>
    <row r="552" spans="1:14" x14ac:dyDescent="0.25">
      <c r="A552" s="35" t="s">
        <v>18</v>
      </c>
      <c r="B552" s="95" t="s">
        <v>20</v>
      </c>
      <c r="C552" s="270" t="s">
        <v>233</v>
      </c>
      <c r="D552" s="270" t="s">
        <v>234</v>
      </c>
      <c r="E552" s="270" t="s">
        <v>235</v>
      </c>
      <c r="F552" s="270" t="s">
        <v>233</v>
      </c>
      <c r="G552" s="270" t="s">
        <v>234</v>
      </c>
      <c r="H552" s="270" t="s">
        <v>235</v>
      </c>
      <c r="I552" s="270" t="s">
        <v>233</v>
      </c>
      <c r="J552" s="270" t="s">
        <v>234</v>
      </c>
      <c r="K552" s="270" t="s">
        <v>235</v>
      </c>
      <c r="L552" s="270" t="s">
        <v>233</v>
      </c>
      <c r="M552" s="270" t="s">
        <v>234</v>
      </c>
      <c r="N552" s="270" t="s">
        <v>235</v>
      </c>
    </row>
    <row r="553" spans="1:14" x14ac:dyDescent="0.25">
      <c r="A553" s="271">
        <v>0</v>
      </c>
      <c r="B553" s="272">
        <f>B59*$G$504</f>
        <v>84.689550301779391</v>
      </c>
      <c r="C553" s="273">
        <f>B553</f>
        <v>84.689550301779391</v>
      </c>
      <c r="D553" s="273">
        <f>C553</f>
        <v>84.689550301779391</v>
      </c>
      <c r="E553" s="273">
        <f>D553</f>
        <v>84.689550301779391</v>
      </c>
      <c r="F553" s="266">
        <f>IF(C553&gt;$B$497,2,IF(C553&gt;$B$498,3,IF(C553&gt;$B$499,4,IF(C553&gt;$B$500,5,IF(C553&gt;$B$501,6,IF(C553&gt;$B$502,7,IF(C553&gt;$B$503,8,IF(C553&gt;$B$504,9,IF(C553&gt;$B$505,10,IF(C553&gt;$B$506,11,IF(C553&gt;$B$507,12,12)))))))))))</f>
        <v>2</v>
      </c>
      <c r="G553" s="266">
        <f>IF(D553&gt;$C$497,2,IF(D553&gt;$C$498,3,IF(D553&gt;$C$499,4,IF(D553&gt;$C$500,5,IF(D553&gt;$C$501,6,IF(D553&gt;$C$502,7,IF(D553&gt;$C$503,8,IF(D553&gt;$C$504,9,IF(D553&gt;$C$505,10,IF(D553&gt;$C$506,11,IF(D553&gt;$C$507,12,12)))))))))))</f>
        <v>2</v>
      </c>
      <c r="H553" s="266">
        <f>IF(E553&gt;$D$497,2,IF(E553&gt;$D$498,3,IF(E553&gt;$D$499,4,IF(E553&gt;$D$500,5,IF(E553&gt;$D$501,6,IF(E553&gt;$D$502,7,IF(E553&gt;$D$503,8,IF(E553&gt;$D$504,9,IF(E553&gt;$D$505,10,IF(E553&gt;$D$506,11,IF(E553&gt;$D$507,12,12)))))))))))</f>
        <v>2</v>
      </c>
      <c r="I553" s="312">
        <f>0.00015*(F553)^3-0.003*(F553)^2+0.081*(F553)+0.96</f>
        <v>1.1112</v>
      </c>
      <c r="J553" s="312">
        <f>0.00003*(G553)^3-0*(G553)^2+0.065*(G553)+1.27</f>
        <v>1.4002399999999999</v>
      </c>
      <c r="K553" s="312">
        <f>0.00002*(H553)^3-0*(H553)^2+0.069*(H553)+1.603</f>
        <v>1.74116</v>
      </c>
      <c r="L553" s="204">
        <f>$B$550*I553</f>
        <v>7.1783519999999994</v>
      </c>
      <c r="M553" s="204">
        <f>$B$550*J553</f>
        <v>9.0455503999999998</v>
      </c>
      <c r="N553" s="204">
        <f>$B$550*K553</f>
        <v>11.247893599999999</v>
      </c>
    </row>
    <row r="554" spans="1:14" x14ac:dyDescent="0.25">
      <c r="A554" s="271">
        <v>1</v>
      </c>
      <c r="B554" s="272">
        <f t="shared" ref="B554:B585" si="134">B60*$G$504</f>
        <v>84.429648575538664</v>
      </c>
      <c r="C554" s="273">
        <f t="shared" ref="C554:C585" si="135">B554</f>
        <v>84.429648575538664</v>
      </c>
      <c r="D554" s="311">
        <f>C554</f>
        <v>84.429648575538664</v>
      </c>
      <c r="E554" s="311">
        <f>D554</f>
        <v>84.429648575538664</v>
      </c>
      <c r="F554" s="266">
        <f t="shared" ref="F554:F585" si="136">IF(C554&gt;$B$497,2,IF(C554&gt;$B$498,3,IF(C554&gt;$B$499,4,IF(C554&gt;$B$500,5,IF(C554&gt;$B$501,6,IF(C554&gt;$B$502,7,IF(C554&gt;$B$503,8,IF(C554&gt;$B$504,9,IF(C554&gt;$B$505,10,IF(C554&gt;$B$506,11,IF(C554&gt;$B$507,12,12)))))))))))</f>
        <v>2</v>
      </c>
      <c r="G554" s="266">
        <f t="shared" ref="G554:G585" si="137">IF(D554&gt;$C$497,2,IF(D554&gt;$C$498,3,IF(D554&gt;$C$499,4,IF(D554&gt;$C$500,5,IF(D554&gt;$C$501,6,IF(D554&gt;$C$502,7,IF(D554&gt;$C$503,8,IF(D554&gt;$C$504,9,IF(D554&gt;$C$505,10,IF(D554&gt;$C$506,11,IF(D554&gt;$C$507,12,12)))))))))))</f>
        <v>2</v>
      </c>
      <c r="H554" s="266">
        <f t="shared" ref="H554:H585" si="138">IF(E554&gt;$D$497,2,IF(E554&gt;$D$498,3,IF(E554&gt;$D$499,4,IF(E554&gt;$D$500,5,IF(E554&gt;$D$501,6,IF(E554&gt;$D$502,7,IF(E554&gt;$D$503,8,IF(E554&gt;$D$504,9,IF(E554&gt;$D$505,10,IF(E554&gt;$D$506,11,IF(E554&gt;$D$507,12,12)))))))))))</f>
        <v>2</v>
      </c>
      <c r="I554" s="312">
        <f t="shared" ref="I554:I583" si="139">0.000135*(F554)^3-0.002*(F554)^2+0.036*(F554)+1.046</f>
        <v>1.1110800000000001</v>
      </c>
      <c r="J554" s="312">
        <f t="shared" ref="J554:J583" si="140">0.000135*(G554)^3-0.002*(G554)^2+0.04*(G554)+1.296</f>
        <v>1.3690800000000001</v>
      </c>
      <c r="K554" s="312">
        <f t="shared" ref="K554:K583" si="141">0.00095*(H554)^2+0.022*(H554)+1.64</f>
        <v>1.6878</v>
      </c>
      <c r="L554" s="204">
        <f>$B$550*I554</f>
        <v>7.1775768000000006</v>
      </c>
      <c r="M554" s="204">
        <f t="shared" ref="M554:M583" si="142">$B$550*J554</f>
        <v>8.8442568000000001</v>
      </c>
      <c r="N554" s="204">
        <f t="shared" ref="N554:N583" si="143">$B$550*K554</f>
        <v>10.903188</v>
      </c>
    </row>
    <row r="555" spans="1:14" x14ac:dyDescent="0.25">
      <c r="A555" s="271">
        <v>2</v>
      </c>
      <c r="B555" s="272">
        <f t="shared" si="134"/>
        <v>84.161949797510715</v>
      </c>
      <c r="C555" s="273">
        <f t="shared" si="135"/>
        <v>84.161949797510715</v>
      </c>
      <c r="D555" s="273">
        <f>C555</f>
        <v>84.161949797510715</v>
      </c>
      <c r="E555" s="273">
        <f>D555</f>
        <v>84.161949797510715</v>
      </c>
      <c r="F555" s="266">
        <f t="shared" si="136"/>
        <v>2</v>
      </c>
      <c r="G555" s="266">
        <f t="shared" si="137"/>
        <v>2</v>
      </c>
      <c r="H555" s="266">
        <f t="shared" si="138"/>
        <v>2</v>
      </c>
      <c r="I555" s="312">
        <f t="shared" si="139"/>
        <v>1.1110800000000001</v>
      </c>
      <c r="J555" s="312">
        <f t="shared" si="140"/>
        <v>1.3690800000000001</v>
      </c>
      <c r="K555" s="312">
        <f t="shared" si="141"/>
        <v>1.6878</v>
      </c>
      <c r="L555" s="204">
        <f t="shared" ref="L555:L583" si="144">$B$550*I555</f>
        <v>7.1775768000000006</v>
      </c>
      <c r="M555" s="204">
        <f t="shared" si="142"/>
        <v>8.8442568000000001</v>
      </c>
      <c r="N555" s="204">
        <f t="shared" si="143"/>
        <v>10.903188</v>
      </c>
    </row>
    <row r="556" spans="1:14" x14ac:dyDescent="0.25">
      <c r="A556" s="271">
        <v>3</v>
      </c>
      <c r="B556" s="272">
        <f t="shared" si="134"/>
        <v>83.990249958563112</v>
      </c>
      <c r="C556" s="273">
        <f t="shared" si="135"/>
        <v>83.990249958563112</v>
      </c>
      <c r="D556" s="273">
        <f t="shared" ref="D556:D583" si="145">C556</f>
        <v>83.990249958563112</v>
      </c>
      <c r="E556" s="273">
        <f t="shared" ref="E556:E583" si="146">D556</f>
        <v>83.990249958563112</v>
      </c>
      <c r="F556" s="266">
        <f t="shared" si="136"/>
        <v>2</v>
      </c>
      <c r="G556" s="266">
        <f t="shared" si="137"/>
        <v>2</v>
      </c>
      <c r="H556" s="266">
        <f t="shared" si="138"/>
        <v>2</v>
      </c>
      <c r="I556" s="312">
        <f t="shared" si="139"/>
        <v>1.1110800000000001</v>
      </c>
      <c r="J556" s="312">
        <f t="shared" si="140"/>
        <v>1.3690800000000001</v>
      </c>
      <c r="K556" s="312">
        <f t="shared" si="141"/>
        <v>1.6878</v>
      </c>
      <c r="L556" s="204">
        <f t="shared" si="144"/>
        <v>7.1775768000000006</v>
      </c>
      <c r="M556" s="204">
        <f t="shared" si="142"/>
        <v>8.8442568000000001</v>
      </c>
      <c r="N556" s="204">
        <f t="shared" si="143"/>
        <v>10.903188</v>
      </c>
    </row>
    <row r="557" spans="1:14" x14ac:dyDescent="0.25">
      <c r="A557" s="271">
        <v>4</v>
      </c>
      <c r="B557" s="272">
        <f t="shared" si="134"/>
        <v>83.70936922202587</v>
      </c>
      <c r="C557" s="273">
        <f t="shared" si="135"/>
        <v>83.70936922202587</v>
      </c>
      <c r="D557" s="273">
        <f t="shared" si="145"/>
        <v>83.70936922202587</v>
      </c>
      <c r="E557" s="273">
        <f t="shared" si="146"/>
        <v>83.70936922202587</v>
      </c>
      <c r="F557" s="266">
        <f t="shared" si="136"/>
        <v>2</v>
      </c>
      <c r="G557" s="266">
        <f t="shared" si="137"/>
        <v>2</v>
      </c>
      <c r="H557" s="266">
        <f t="shared" si="138"/>
        <v>2</v>
      </c>
      <c r="I557" s="312">
        <f t="shared" si="139"/>
        <v>1.1110800000000001</v>
      </c>
      <c r="J557" s="312">
        <f t="shared" si="140"/>
        <v>1.3690800000000001</v>
      </c>
      <c r="K557" s="312">
        <f t="shared" si="141"/>
        <v>1.6878</v>
      </c>
      <c r="L557" s="204">
        <f t="shared" si="144"/>
        <v>7.1775768000000006</v>
      </c>
      <c r="M557" s="204">
        <f t="shared" si="142"/>
        <v>8.8442568000000001</v>
      </c>
      <c r="N557" s="204">
        <f>$B$550*K557</f>
        <v>10.903188</v>
      </c>
    </row>
    <row r="558" spans="1:14" x14ac:dyDescent="0.25">
      <c r="A558" s="271">
        <v>5</v>
      </c>
      <c r="B558" s="272">
        <f t="shared" si="134"/>
        <v>83.42006206339255</v>
      </c>
      <c r="C558" s="273">
        <f t="shared" si="135"/>
        <v>83.42006206339255</v>
      </c>
      <c r="D558" s="273">
        <f t="shared" si="145"/>
        <v>83.42006206339255</v>
      </c>
      <c r="E558" s="273">
        <f t="shared" si="146"/>
        <v>83.42006206339255</v>
      </c>
      <c r="F558" s="266">
        <f t="shared" si="136"/>
        <v>2</v>
      </c>
      <c r="G558" s="266">
        <f t="shared" si="137"/>
        <v>2</v>
      </c>
      <c r="H558" s="266">
        <f t="shared" si="138"/>
        <v>2</v>
      </c>
      <c r="I558" s="312">
        <f t="shared" si="139"/>
        <v>1.1110800000000001</v>
      </c>
      <c r="J558" s="312">
        <f t="shared" si="140"/>
        <v>1.3690800000000001</v>
      </c>
      <c r="K558" s="312">
        <f t="shared" si="141"/>
        <v>1.6878</v>
      </c>
      <c r="L558" s="204">
        <f t="shared" si="144"/>
        <v>7.1775768000000006</v>
      </c>
      <c r="M558" s="204">
        <f t="shared" si="142"/>
        <v>8.8442568000000001</v>
      </c>
      <c r="N558" s="204">
        <f t="shared" si="143"/>
        <v>10.903188</v>
      </c>
    </row>
    <row r="559" spans="1:14" x14ac:dyDescent="0.25">
      <c r="A559" s="271">
        <v>6</v>
      </c>
      <c r="B559" s="272">
        <f t="shared" si="134"/>
        <v>83.122075690000202</v>
      </c>
      <c r="C559" s="273">
        <f t="shared" si="135"/>
        <v>83.122075690000202</v>
      </c>
      <c r="D559" s="273">
        <f t="shared" si="145"/>
        <v>83.122075690000202</v>
      </c>
      <c r="E559" s="273">
        <f t="shared" si="146"/>
        <v>83.122075690000202</v>
      </c>
      <c r="F559" s="266">
        <f t="shared" si="136"/>
        <v>2</v>
      </c>
      <c r="G559" s="266">
        <f t="shared" si="137"/>
        <v>2</v>
      </c>
      <c r="H559" s="266">
        <f t="shared" si="138"/>
        <v>2</v>
      </c>
      <c r="I559" s="312">
        <f t="shared" si="139"/>
        <v>1.1110800000000001</v>
      </c>
      <c r="J559" s="312">
        <f t="shared" si="140"/>
        <v>1.3690800000000001</v>
      </c>
      <c r="K559" s="312">
        <f t="shared" si="141"/>
        <v>1.6878</v>
      </c>
      <c r="L559" s="204">
        <f t="shared" si="144"/>
        <v>7.1775768000000006</v>
      </c>
      <c r="M559" s="204">
        <f t="shared" si="142"/>
        <v>8.8442568000000001</v>
      </c>
      <c r="N559" s="204">
        <f t="shared" si="143"/>
        <v>10.903188</v>
      </c>
    </row>
    <row r="560" spans="1:14" x14ac:dyDescent="0.25">
      <c r="A560" s="271">
        <v>7</v>
      </c>
      <c r="B560" s="272">
        <f t="shared" si="134"/>
        <v>82.815149725406087</v>
      </c>
      <c r="C560" s="273">
        <f t="shared" si="135"/>
        <v>82.815149725406087</v>
      </c>
      <c r="D560" s="273">
        <f t="shared" si="145"/>
        <v>82.815149725406087</v>
      </c>
      <c r="E560" s="273">
        <f t="shared" si="146"/>
        <v>82.815149725406087</v>
      </c>
      <c r="F560" s="266">
        <f t="shared" si="136"/>
        <v>2</v>
      </c>
      <c r="G560" s="266">
        <f t="shared" si="137"/>
        <v>2</v>
      </c>
      <c r="H560" s="266">
        <f t="shared" si="138"/>
        <v>2</v>
      </c>
      <c r="I560" s="312">
        <f t="shared" si="139"/>
        <v>1.1110800000000001</v>
      </c>
      <c r="J560" s="312">
        <f t="shared" si="140"/>
        <v>1.3690800000000001</v>
      </c>
      <c r="K560" s="312">
        <f t="shared" si="141"/>
        <v>1.6878</v>
      </c>
      <c r="L560" s="204">
        <f t="shared" si="144"/>
        <v>7.1775768000000006</v>
      </c>
      <c r="M560" s="204">
        <f t="shared" si="142"/>
        <v>8.8442568000000001</v>
      </c>
      <c r="N560" s="204">
        <f t="shared" si="143"/>
        <v>10.903188</v>
      </c>
    </row>
    <row r="561" spans="1:14" x14ac:dyDescent="0.25">
      <c r="A561" s="271">
        <v>8</v>
      </c>
      <c r="B561" s="272">
        <f t="shared" si="134"/>
        <v>82.499015981874152</v>
      </c>
      <c r="C561" s="273">
        <f t="shared" si="135"/>
        <v>82.499015981874152</v>
      </c>
      <c r="D561" s="273">
        <f t="shared" si="145"/>
        <v>82.499015981874152</v>
      </c>
      <c r="E561" s="273">
        <f t="shared" si="146"/>
        <v>82.499015981874152</v>
      </c>
      <c r="F561" s="266">
        <f t="shared" si="136"/>
        <v>2</v>
      </c>
      <c r="G561" s="266">
        <f t="shared" si="137"/>
        <v>2</v>
      </c>
      <c r="H561" s="266">
        <f t="shared" si="138"/>
        <v>2</v>
      </c>
      <c r="I561" s="312">
        <f t="shared" si="139"/>
        <v>1.1110800000000001</v>
      </c>
      <c r="J561" s="312">
        <f t="shared" si="140"/>
        <v>1.3690800000000001</v>
      </c>
      <c r="K561" s="312">
        <f t="shared" si="141"/>
        <v>1.6878</v>
      </c>
      <c r="L561" s="204">
        <f t="shared" si="144"/>
        <v>7.1775768000000006</v>
      </c>
      <c r="M561" s="204">
        <f t="shared" si="142"/>
        <v>8.8442568000000001</v>
      </c>
      <c r="N561" s="204">
        <f t="shared" si="143"/>
        <v>10.903188</v>
      </c>
    </row>
    <row r="562" spans="1:14" x14ac:dyDescent="0.25">
      <c r="A562" s="271">
        <v>9</v>
      </c>
      <c r="B562" s="272">
        <f t="shared" si="134"/>
        <v>82.173398226036269</v>
      </c>
      <c r="C562" s="273">
        <f t="shared" si="135"/>
        <v>82.173398226036269</v>
      </c>
      <c r="D562" s="273">
        <f t="shared" si="145"/>
        <v>82.173398226036269</v>
      </c>
      <c r="E562" s="273">
        <f t="shared" si="146"/>
        <v>82.173398226036269</v>
      </c>
      <c r="F562" s="266">
        <f t="shared" si="136"/>
        <v>2</v>
      </c>
      <c r="G562" s="266">
        <f t="shared" si="137"/>
        <v>2</v>
      </c>
      <c r="H562" s="266">
        <f t="shared" si="138"/>
        <v>2</v>
      </c>
      <c r="I562" s="312">
        <f t="shared" si="139"/>
        <v>1.1110800000000001</v>
      </c>
      <c r="J562" s="312">
        <f t="shared" si="140"/>
        <v>1.3690800000000001</v>
      </c>
      <c r="K562" s="312">
        <f t="shared" si="141"/>
        <v>1.6878</v>
      </c>
      <c r="L562" s="204">
        <f t="shared" si="144"/>
        <v>7.1775768000000006</v>
      </c>
      <c r="M562" s="204">
        <f t="shared" si="142"/>
        <v>8.8442568000000001</v>
      </c>
      <c r="N562" s="204">
        <f t="shared" si="143"/>
        <v>10.903188</v>
      </c>
    </row>
    <row r="563" spans="1:14" x14ac:dyDescent="0.25">
      <c r="A563" s="271">
        <v>10</v>
      </c>
      <c r="B563" s="272">
        <f t="shared" si="134"/>
        <v>81.83801193752322</v>
      </c>
      <c r="C563" s="273">
        <f t="shared" si="135"/>
        <v>81.83801193752322</v>
      </c>
      <c r="D563" s="273">
        <f t="shared" si="145"/>
        <v>81.83801193752322</v>
      </c>
      <c r="E563" s="273">
        <f t="shared" si="146"/>
        <v>81.83801193752322</v>
      </c>
      <c r="F563" s="266">
        <f t="shared" si="136"/>
        <v>2</v>
      </c>
      <c r="G563" s="266">
        <f t="shared" si="137"/>
        <v>2</v>
      </c>
      <c r="H563" s="266">
        <f t="shared" si="138"/>
        <v>2</v>
      </c>
      <c r="I563" s="312">
        <f t="shared" si="139"/>
        <v>1.1110800000000001</v>
      </c>
      <c r="J563" s="312">
        <f t="shared" si="140"/>
        <v>1.3690800000000001</v>
      </c>
      <c r="K563" s="312">
        <f t="shared" si="141"/>
        <v>1.6878</v>
      </c>
      <c r="L563" s="204">
        <f t="shared" si="144"/>
        <v>7.1775768000000006</v>
      </c>
      <c r="M563" s="204">
        <f t="shared" si="142"/>
        <v>8.8442568000000001</v>
      </c>
      <c r="N563" s="204">
        <f t="shared" si="143"/>
        <v>10.903188</v>
      </c>
    </row>
    <row r="564" spans="1:14" x14ac:dyDescent="0.25">
      <c r="A564" s="271">
        <v>11</v>
      </c>
      <c r="B564" s="272">
        <f t="shared" si="134"/>
        <v>81.492564060354809</v>
      </c>
      <c r="C564" s="273">
        <f t="shared" si="135"/>
        <v>81.492564060354809</v>
      </c>
      <c r="D564" s="273">
        <f t="shared" si="145"/>
        <v>81.492564060354809</v>
      </c>
      <c r="E564" s="273">
        <f t="shared" si="146"/>
        <v>81.492564060354809</v>
      </c>
      <c r="F564" s="266">
        <f t="shared" si="136"/>
        <v>2</v>
      </c>
      <c r="G564" s="266">
        <f t="shared" si="137"/>
        <v>2</v>
      </c>
      <c r="H564" s="266">
        <f t="shared" si="138"/>
        <v>2</v>
      </c>
      <c r="I564" s="312">
        <f t="shared" si="139"/>
        <v>1.1110800000000001</v>
      </c>
      <c r="J564" s="312">
        <f t="shared" si="140"/>
        <v>1.3690800000000001</v>
      </c>
      <c r="K564" s="312">
        <f t="shared" si="141"/>
        <v>1.6878</v>
      </c>
      <c r="L564" s="204">
        <f t="shared" si="144"/>
        <v>7.1775768000000006</v>
      </c>
      <c r="M564" s="204">
        <f t="shared" si="142"/>
        <v>8.8442568000000001</v>
      </c>
      <c r="N564" s="204">
        <f t="shared" si="143"/>
        <v>10.903188</v>
      </c>
    </row>
    <row r="565" spans="1:14" x14ac:dyDescent="0.25">
      <c r="A565" s="271">
        <v>12</v>
      </c>
      <c r="B565" s="272">
        <f t="shared" si="134"/>
        <v>81.136752746871338</v>
      </c>
      <c r="C565" s="273">
        <f t="shared" si="135"/>
        <v>81.136752746871338</v>
      </c>
      <c r="D565" s="273">
        <f t="shared" si="145"/>
        <v>81.136752746871338</v>
      </c>
      <c r="E565" s="273">
        <f t="shared" si="146"/>
        <v>81.136752746871338</v>
      </c>
      <c r="F565" s="266">
        <f t="shared" si="136"/>
        <v>2</v>
      </c>
      <c r="G565" s="266">
        <f t="shared" si="137"/>
        <v>2</v>
      </c>
      <c r="H565" s="266">
        <f t="shared" si="138"/>
        <v>2</v>
      </c>
      <c r="I565" s="312">
        <f t="shared" si="139"/>
        <v>1.1110800000000001</v>
      </c>
      <c r="J565" s="312">
        <f t="shared" si="140"/>
        <v>1.3690800000000001</v>
      </c>
      <c r="K565" s="312">
        <f t="shared" si="141"/>
        <v>1.6878</v>
      </c>
      <c r="L565" s="204">
        <f t="shared" si="144"/>
        <v>7.1775768000000006</v>
      </c>
      <c r="M565" s="204">
        <f t="shared" si="142"/>
        <v>8.8442568000000001</v>
      </c>
      <c r="N565" s="204">
        <f t="shared" si="143"/>
        <v>10.903188</v>
      </c>
    </row>
    <row r="566" spans="1:14" x14ac:dyDescent="0.25">
      <c r="A566" s="271">
        <v>13</v>
      </c>
      <c r="B566" s="272">
        <f t="shared" si="134"/>
        <v>80.77026709398335</v>
      </c>
      <c r="C566" s="273">
        <f t="shared" si="135"/>
        <v>80.77026709398335</v>
      </c>
      <c r="D566" s="273">
        <f t="shared" si="145"/>
        <v>80.77026709398335</v>
      </c>
      <c r="E566" s="273">
        <f t="shared" si="146"/>
        <v>80.77026709398335</v>
      </c>
      <c r="F566" s="266">
        <f t="shared" si="136"/>
        <v>2</v>
      </c>
      <c r="G566" s="266">
        <f t="shared" si="137"/>
        <v>2</v>
      </c>
      <c r="H566" s="266">
        <f t="shared" si="138"/>
        <v>2</v>
      </c>
      <c r="I566" s="312">
        <f t="shared" si="139"/>
        <v>1.1110800000000001</v>
      </c>
      <c r="J566" s="312">
        <f t="shared" si="140"/>
        <v>1.3690800000000001</v>
      </c>
      <c r="K566" s="312">
        <f t="shared" si="141"/>
        <v>1.6878</v>
      </c>
      <c r="L566" s="204">
        <f t="shared" si="144"/>
        <v>7.1775768000000006</v>
      </c>
      <c r="M566" s="204">
        <f t="shared" si="142"/>
        <v>8.8442568000000001</v>
      </c>
      <c r="N566" s="204">
        <f t="shared" si="143"/>
        <v>10.903188</v>
      </c>
    </row>
    <row r="567" spans="1:14" x14ac:dyDescent="0.25">
      <c r="A567" s="271">
        <v>14</v>
      </c>
      <c r="B567" s="272">
        <f t="shared" si="134"/>
        <v>80.392786871508733</v>
      </c>
      <c r="C567" s="273">
        <f t="shared" si="135"/>
        <v>80.392786871508733</v>
      </c>
      <c r="D567" s="273">
        <f t="shared" si="145"/>
        <v>80.392786871508733</v>
      </c>
      <c r="E567" s="273">
        <f t="shared" si="146"/>
        <v>80.392786871508733</v>
      </c>
      <c r="F567" s="266">
        <f t="shared" si="136"/>
        <v>2</v>
      </c>
      <c r="G567" s="266">
        <f t="shared" si="137"/>
        <v>2</v>
      </c>
      <c r="H567" s="266">
        <f t="shared" si="138"/>
        <v>2</v>
      </c>
      <c r="I567" s="312">
        <f t="shared" si="139"/>
        <v>1.1110800000000001</v>
      </c>
      <c r="J567" s="312">
        <f t="shared" si="140"/>
        <v>1.3690800000000001</v>
      </c>
      <c r="K567" s="312">
        <f t="shared" si="141"/>
        <v>1.6878</v>
      </c>
      <c r="L567" s="204">
        <f t="shared" si="144"/>
        <v>7.1775768000000006</v>
      </c>
      <c r="M567" s="204">
        <f t="shared" si="142"/>
        <v>8.8442568000000001</v>
      </c>
      <c r="N567" s="204">
        <f t="shared" si="143"/>
        <v>10.903188</v>
      </c>
    </row>
    <row r="568" spans="1:14" x14ac:dyDescent="0.25">
      <c r="A568" s="271">
        <v>15</v>
      </c>
      <c r="B568" s="272">
        <f t="shared" si="134"/>
        <v>80.003982242359882</v>
      </c>
      <c r="C568" s="273">
        <f t="shared" si="135"/>
        <v>80.003982242359882</v>
      </c>
      <c r="D568" s="273">
        <f t="shared" si="145"/>
        <v>80.003982242359882</v>
      </c>
      <c r="E568" s="273">
        <f t="shared" si="146"/>
        <v>80.003982242359882</v>
      </c>
      <c r="F568" s="266">
        <f t="shared" si="136"/>
        <v>2</v>
      </c>
      <c r="G568" s="266">
        <f t="shared" si="137"/>
        <v>2</v>
      </c>
      <c r="H568" s="266">
        <f t="shared" si="138"/>
        <v>2</v>
      </c>
      <c r="I568" s="312">
        <f t="shared" si="139"/>
        <v>1.1110800000000001</v>
      </c>
      <c r="J568" s="312">
        <f t="shared" si="140"/>
        <v>1.3690800000000001</v>
      </c>
      <c r="K568" s="312">
        <f t="shared" si="141"/>
        <v>1.6878</v>
      </c>
      <c r="L568" s="204">
        <f t="shared" si="144"/>
        <v>7.1775768000000006</v>
      </c>
      <c r="M568" s="204">
        <f t="shared" si="142"/>
        <v>8.8442568000000001</v>
      </c>
      <c r="N568" s="204">
        <f t="shared" si="143"/>
        <v>10.903188</v>
      </c>
    </row>
    <row r="569" spans="1:14" x14ac:dyDescent="0.25">
      <c r="A569" s="271">
        <v>16</v>
      </c>
      <c r="B569" s="272">
        <f t="shared" si="134"/>
        <v>79.752963775446716</v>
      </c>
      <c r="C569" s="273">
        <f t="shared" si="135"/>
        <v>79.752963775446716</v>
      </c>
      <c r="D569" s="273">
        <f t="shared" si="145"/>
        <v>79.752963775446716</v>
      </c>
      <c r="E569" s="273">
        <f t="shared" si="146"/>
        <v>79.752963775446716</v>
      </c>
      <c r="F569" s="266">
        <f t="shared" si="136"/>
        <v>2</v>
      </c>
      <c r="G569" s="266">
        <f t="shared" si="137"/>
        <v>2</v>
      </c>
      <c r="H569" s="266">
        <f t="shared" si="138"/>
        <v>2</v>
      </c>
      <c r="I569" s="312">
        <f t="shared" si="139"/>
        <v>1.1110800000000001</v>
      </c>
      <c r="J569" s="312">
        <f t="shared" si="140"/>
        <v>1.3690800000000001</v>
      </c>
      <c r="K569" s="312">
        <f t="shared" si="141"/>
        <v>1.6878</v>
      </c>
      <c r="L569" s="204">
        <f t="shared" si="144"/>
        <v>7.1775768000000006</v>
      </c>
      <c r="M569" s="204">
        <f t="shared" si="142"/>
        <v>8.8442568000000001</v>
      </c>
      <c r="N569" s="204">
        <f t="shared" si="143"/>
        <v>10.903188</v>
      </c>
    </row>
    <row r="570" spans="1:14" x14ac:dyDescent="0.25">
      <c r="A570" s="271">
        <v>17</v>
      </c>
      <c r="B570" s="272">
        <f t="shared" si="134"/>
        <v>79.344964453415997</v>
      </c>
      <c r="C570" s="273">
        <f t="shared" si="135"/>
        <v>79.344964453415997</v>
      </c>
      <c r="D570" s="273">
        <f t="shared" si="145"/>
        <v>79.344964453415997</v>
      </c>
      <c r="E570" s="273">
        <f t="shared" si="146"/>
        <v>79.344964453415997</v>
      </c>
      <c r="F570" s="266">
        <f t="shared" si="136"/>
        <v>2</v>
      </c>
      <c r="G570" s="266">
        <f t="shared" si="137"/>
        <v>2</v>
      </c>
      <c r="H570" s="266">
        <f t="shared" si="138"/>
        <v>2</v>
      </c>
      <c r="I570" s="312">
        <f t="shared" si="139"/>
        <v>1.1110800000000001</v>
      </c>
      <c r="J570" s="312">
        <f t="shared" si="140"/>
        <v>1.3690800000000001</v>
      </c>
      <c r="K570" s="312">
        <f t="shared" si="141"/>
        <v>1.6878</v>
      </c>
      <c r="L570" s="204">
        <f t="shared" si="144"/>
        <v>7.1775768000000006</v>
      </c>
      <c r="M570" s="204">
        <f t="shared" si="142"/>
        <v>8.8442568000000001</v>
      </c>
      <c r="N570" s="204">
        <f t="shared" si="143"/>
        <v>10.903188</v>
      </c>
    </row>
    <row r="571" spans="1:14" x14ac:dyDescent="0.25">
      <c r="A571" s="271">
        <v>18</v>
      </c>
      <c r="B571" s="272">
        <f t="shared" si="134"/>
        <v>78.924725151724374</v>
      </c>
      <c r="C571" s="273">
        <f t="shared" si="135"/>
        <v>78.924725151724374</v>
      </c>
      <c r="D571" s="273">
        <f t="shared" si="145"/>
        <v>78.924725151724374</v>
      </c>
      <c r="E571" s="273">
        <f t="shared" si="146"/>
        <v>78.924725151724374</v>
      </c>
      <c r="F571" s="266">
        <f t="shared" si="136"/>
        <v>2</v>
      </c>
      <c r="G571" s="266">
        <f t="shared" si="137"/>
        <v>2</v>
      </c>
      <c r="H571" s="266">
        <f t="shared" si="138"/>
        <v>2</v>
      </c>
      <c r="I571" s="312">
        <f t="shared" si="139"/>
        <v>1.1110800000000001</v>
      </c>
      <c r="J571" s="312">
        <f t="shared" si="140"/>
        <v>1.3690800000000001</v>
      </c>
      <c r="K571" s="312">
        <f t="shared" si="141"/>
        <v>1.6878</v>
      </c>
      <c r="L571" s="204">
        <f t="shared" si="144"/>
        <v>7.1775768000000006</v>
      </c>
      <c r="M571" s="204">
        <f t="shared" si="142"/>
        <v>8.8442568000000001</v>
      </c>
      <c r="N571" s="204">
        <f t="shared" si="143"/>
        <v>10.903188</v>
      </c>
    </row>
    <row r="572" spans="1:14" x14ac:dyDescent="0.25">
      <c r="A572" s="271">
        <v>19</v>
      </c>
      <c r="B572" s="272">
        <f t="shared" si="134"/>
        <v>78.49187867098199</v>
      </c>
      <c r="C572" s="273">
        <f t="shared" si="135"/>
        <v>78.49187867098199</v>
      </c>
      <c r="D572" s="273">
        <f t="shared" si="145"/>
        <v>78.49187867098199</v>
      </c>
      <c r="E572" s="273">
        <f t="shared" si="146"/>
        <v>78.49187867098199</v>
      </c>
      <c r="F572" s="266">
        <f t="shared" si="136"/>
        <v>2</v>
      </c>
      <c r="G572" s="266">
        <f t="shared" si="137"/>
        <v>2</v>
      </c>
      <c r="H572" s="266">
        <f t="shared" si="138"/>
        <v>2</v>
      </c>
      <c r="I572" s="312">
        <f t="shared" si="139"/>
        <v>1.1110800000000001</v>
      </c>
      <c r="J572" s="312">
        <f t="shared" si="140"/>
        <v>1.3690800000000001</v>
      </c>
      <c r="K572" s="312">
        <f t="shared" si="141"/>
        <v>1.6878</v>
      </c>
      <c r="L572" s="204">
        <f t="shared" si="144"/>
        <v>7.1775768000000006</v>
      </c>
      <c r="M572" s="204">
        <f t="shared" si="142"/>
        <v>8.8442568000000001</v>
      </c>
      <c r="N572" s="204">
        <f t="shared" si="143"/>
        <v>10.903188</v>
      </c>
    </row>
    <row r="573" spans="1:14" x14ac:dyDescent="0.25">
      <c r="A573" s="271">
        <v>20</v>
      </c>
      <c r="B573" s="272">
        <f t="shared" si="134"/>
        <v>78.046046795817318</v>
      </c>
      <c r="C573" s="273">
        <f t="shared" si="135"/>
        <v>78.046046795817318</v>
      </c>
      <c r="D573" s="273">
        <f t="shared" si="145"/>
        <v>78.046046795817318</v>
      </c>
      <c r="E573" s="273">
        <f t="shared" si="146"/>
        <v>78.046046795817318</v>
      </c>
      <c r="F573" s="266">
        <f t="shared" si="136"/>
        <v>2</v>
      </c>
      <c r="G573" s="266">
        <f t="shared" si="137"/>
        <v>2</v>
      </c>
      <c r="H573" s="266">
        <f t="shared" si="138"/>
        <v>2</v>
      </c>
      <c r="I573" s="312">
        <f t="shared" si="139"/>
        <v>1.1110800000000001</v>
      </c>
      <c r="J573" s="312">
        <f t="shared" si="140"/>
        <v>1.3690800000000001</v>
      </c>
      <c r="K573" s="312">
        <f t="shared" si="141"/>
        <v>1.6878</v>
      </c>
      <c r="L573" s="204">
        <f t="shared" si="144"/>
        <v>7.1775768000000006</v>
      </c>
      <c r="M573" s="204">
        <f t="shared" si="142"/>
        <v>8.8442568000000001</v>
      </c>
      <c r="N573" s="204">
        <f t="shared" si="143"/>
        <v>10.903188</v>
      </c>
    </row>
    <row r="574" spans="1:14" x14ac:dyDescent="0.25">
      <c r="A574" s="271">
        <v>21</v>
      </c>
      <c r="B574" s="272">
        <f t="shared" si="134"/>
        <v>77.586839964397726</v>
      </c>
      <c r="C574" s="273">
        <f t="shared" si="135"/>
        <v>77.586839964397726</v>
      </c>
      <c r="D574" s="273">
        <f t="shared" si="145"/>
        <v>77.586839964397726</v>
      </c>
      <c r="E574" s="273">
        <f t="shared" si="146"/>
        <v>77.586839964397726</v>
      </c>
      <c r="F574" s="266">
        <f t="shared" si="136"/>
        <v>2</v>
      </c>
      <c r="G574" s="266">
        <f t="shared" si="137"/>
        <v>2</v>
      </c>
      <c r="H574" s="266">
        <f t="shared" si="138"/>
        <v>2</v>
      </c>
      <c r="I574" s="312">
        <f t="shared" si="139"/>
        <v>1.1110800000000001</v>
      </c>
      <c r="J574" s="312">
        <f t="shared" si="140"/>
        <v>1.3690800000000001</v>
      </c>
      <c r="K574" s="312">
        <f t="shared" si="141"/>
        <v>1.6878</v>
      </c>
      <c r="L574" s="204">
        <f t="shared" si="144"/>
        <v>7.1775768000000006</v>
      </c>
      <c r="M574" s="204">
        <f t="shared" si="142"/>
        <v>8.8442568000000001</v>
      </c>
      <c r="N574" s="204">
        <f t="shared" si="143"/>
        <v>10.903188</v>
      </c>
    </row>
    <row r="575" spans="1:14" x14ac:dyDescent="0.25">
      <c r="A575" s="271">
        <v>22</v>
      </c>
      <c r="B575" s="272">
        <f t="shared" si="134"/>
        <v>77.113856928035545</v>
      </c>
      <c r="C575" s="273">
        <f t="shared" si="135"/>
        <v>77.113856928035545</v>
      </c>
      <c r="D575" s="273">
        <f t="shared" si="145"/>
        <v>77.113856928035545</v>
      </c>
      <c r="E575" s="273">
        <f t="shared" si="146"/>
        <v>77.113856928035545</v>
      </c>
      <c r="F575" s="266">
        <f t="shared" si="136"/>
        <v>2</v>
      </c>
      <c r="G575" s="266">
        <f t="shared" si="137"/>
        <v>2</v>
      </c>
      <c r="H575" s="266">
        <f t="shared" si="138"/>
        <v>2</v>
      </c>
      <c r="I575" s="312">
        <f t="shared" si="139"/>
        <v>1.1110800000000001</v>
      </c>
      <c r="J575" s="312">
        <f t="shared" si="140"/>
        <v>1.3690800000000001</v>
      </c>
      <c r="K575" s="312">
        <f t="shared" si="141"/>
        <v>1.6878</v>
      </c>
      <c r="L575" s="204">
        <f t="shared" si="144"/>
        <v>7.1775768000000006</v>
      </c>
      <c r="M575" s="204">
        <f t="shared" si="142"/>
        <v>8.8442568000000001</v>
      </c>
      <c r="N575" s="204">
        <f t="shared" si="143"/>
        <v>10.903188</v>
      </c>
    </row>
    <row r="576" spans="1:14" x14ac:dyDescent="0.25">
      <c r="A576" s="271">
        <v>23</v>
      </c>
      <c r="B576" s="272">
        <f t="shared" si="134"/>
        <v>76.626684400582491</v>
      </c>
      <c r="C576" s="273">
        <f t="shared" si="135"/>
        <v>76.626684400582491</v>
      </c>
      <c r="D576" s="273">
        <f t="shared" si="145"/>
        <v>76.626684400582491</v>
      </c>
      <c r="E576" s="273">
        <f t="shared" si="146"/>
        <v>76.626684400582491</v>
      </c>
      <c r="F576" s="266">
        <f t="shared" si="136"/>
        <v>2</v>
      </c>
      <c r="G576" s="266">
        <f t="shared" si="137"/>
        <v>2</v>
      </c>
      <c r="H576" s="266">
        <f t="shared" si="138"/>
        <v>2</v>
      </c>
      <c r="I576" s="312">
        <f t="shared" si="139"/>
        <v>1.1110800000000001</v>
      </c>
      <c r="J576" s="312">
        <f t="shared" si="140"/>
        <v>1.3690800000000001</v>
      </c>
      <c r="K576" s="312">
        <f t="shared" si="141"/>
        <v>1.6878</v>
      </c>
      <c r="L576" s="204">
        <f t="shared" si="144"/>
        <v>7.1775768000000006</v>
      </c>
      <c r="M576" s="204">
        <f t="shared" si="142"/>
        <v>8.8442568000000001</v>
      </c>
      <c r="N576" s="204">
        <f t="shared" si="143"/>
        <v>10.903188</v>
      </c>
    </row>
    <row r="577" spans="1:14" x14ac:dyDescent="0.25">
      <c r="A577" s="271">
        <v>24</v>
      </c>
      <c r="B577" s="272">
        <f t="shared" si="134"/>
        <v>76.124896697305843</v>
      </c>
      <c r="C577" s="273">
        <f t="shared" si="135"/>
        <v>76.124896697305843</v>
      </c>
      <c r="D577" s="273">
        <f t="shared" si="145"/>
        <v>76.124896697305843</v>
      </c>
      <c r="E577" s="273">
        <f t="shared" si="146"/>
        <v>76.124896697305843</v>
      </c>
      <c r="F577" s="266">
        <f t="shared" si="136"/>
        <v>2</v>
      </c>
      <c r="G577" s="266">
        <f t="shared" si="137"/>
        <v>2</v>
      </c>
      <c r="H577" s="266">
        <f t="shared" si="138"/>
        <v>2</v>
      </c>
      <c r="I577" s="312">
        <f t="shared" si="139"/>
        <v>1.1110800000000001</v>
      </c>
      <c r="J577" s="312">
        <f t="shared" si="140"/>
        <v>1.3690800000000001</v>
      </c>
      <c r="K577" s="312">
        <f t="shared" si="141"/>
        <v>1.6878</v>
      </c>
      <c r="L577" s="204">
        <f t="shared" si="144"/>
        <v>7.1775768000000006</v>
      </c>
      <c r="M577" s="204">
        <f t="shared" si="142"/>
        <v>8.8442568000000001</v>
      </c>
      <c r="N577" s="204">
        <f t="shared" si="143"/>
        <v>10.903188</v>
      </c>
    </row>
    <row r="578" spans="1:14" x14ac:dyDescent="0.25">
      <c r="A578" s="271">
        <v>25</v>
      </c>
      <c r="B578" s="272">
        <f t="shared" si="134"/>
        <v>75.608055362930898</v>
      </c>
      <c r="C578" s="273">
        <f t="shared" si="135"/>
        <v>75.608055362930898</v>
      </c>
      <c r="D578" s="273">
        <f t="shared" si="145"/>
        <v>75.608055362930898</v>
      </c>
      <c r="E578" s="273">
        <f t="shared" si="146"/>
        <v>75.608055362930898</v>
      </c>
      <c r="F578" s="266">
        <f t="shared" si="136"/>
        <v>2</v>
      </c>
      <c r="G578" s="266">
        <f t="shared" si="137"/>
        <v>2</v>
      </c>
      <c r="H578" s="266">
        <f t="shared" si="138"/>
        <v>2</v>
      </c>
      <c r="I578" s="312">
        <f t="shared" si="139"/>
        <v>1.1110800000000001</v>
      </c>
      <c r="J578" s="312">
        <f t="shared" si="140"/>
        <v>1.3690800000000001</v>
      </c>
      <c r="K578" s="312">
        <f t="shared" si="141"/>
        <v>1.6878</v>
      </c>
      <c r="L578" s="204">
        <f t="shared" si="144"/>
        <v>7.1775768000000006</v>
      </c>
      <c r="M578" s="204">
        <f t="shared" si="142"/>
        <v>8.8442568000000001</v>
      </c>
      <c r="N578" s="204">
        <f t="shared" si="143"/>
        <v>10.903188</v>
      </c>
    </row>
    <row r="579" spans="1:14" x14ac:dyDescent="0.25">
      <c r="A579" s="271">
        <v>26</v>
      </c>
      <c r="B579" s="272">
        <f t="shared" si="134"/>
        <v>75.272238169040264</v>
      </c>
      <c r="C579" s="273">
        <f t="shared" si="135"/>
        <v>75.272238169040264</v>
      </c>
      <c r="D579" s="273">
        <f t="shared" si="145"/>
        <v>75.272238169040264</v>
      </c>
      <c r="E579" s="273">
        <f t="shared" si="146"/>
        <v>75.272238169040264</v>
      </c>
      <c r="F579" s="266">
        <f t="shared" si="136"/>
        <v>2</v>
      </c>
      <c r="G579" s="266">
        <f t="shared" si="137"/>
        <v>2</v>
      </c>
      <c r="H579" s="266">
        <f t="shared" si="138"/>
        <v>2</v>
      </c>
      <c r="I579" s="312">
        <f t="shared" si="139"/>
        <v>1.1110800000000001</v>
      </c>
      <c r="J579" s="312">
        <f t="shared" si="140"/>
        <v>1.3690800000000001</v>
      </c>
      <c r="K579" s="312">
        <f t="shared" si="141"/>
        <v>1.6878</v>
      </c>
      <c r="L579" s="204">
        <f t="shared" si="144"/>
        <v>7.1775768000000006</v>
      </c>
      <c r="M579" s="204">
        <f t="shared" si="142"/>
        <v>8.8442568000000001</v>
      </c>
      <c r="N579" s="204">
        <f t="shared" si="143"/>
        <v>10.903188</v>
      </c>
    </row>
    <row r="580" spans="1:14" x14ac:dyDescent="0.25">
      <c r="A580" s="271">
        <v>27</v>
      </c>
      <c r="B580" s="272">
        <f t="shared" si="134"/>
        <v>74.729817078817362</v>
      </c>
      <c r="C580" s="273">
        <f t="shared" si="135"/>
        <v>74.729817078817362</v>
      </c>
      <c r="D580" s="273">
        <f t="shared" si="145"/>
        <v>74.729817078817362</v>
      </c>
      <c r="E580" s="273">
        <f t="shared" si="146"/>
        <v>74.729817078817362</v>
      </c>
      <c r="F580" s="266">
        <f t="shared" si="136"/>
        <v>2</v>
      </c>
      <c r="G580" s="266">
        <f t="shared" si="137"/>
        <v>2</v>
      </c>
      <c r="H580" s="266">
        <f t="shared" si="138"/>
        <v>2</v>
      </c>
      <c r="I580" s="312">
        <f t="shared" si="139"/>
        <v>1.1110800000000001</v>
      </c>
      <c r="J580" s="312">
        <f t="shared" si="140"/>
        <v>1.3690800000000001</v>
      </c>
      <c r="K580" s="312">
        <f t="shared" si="141"/>
        <v>1.6878</v>
      </c>
      <c r="L580" s="204">
        <f t="shared" si="144"/>
        <v>7.1775768000000006</v>
      </c>
      <c r="M580" s="204">
        <f t="shared" si="142"/>
        <v>8.8442568000000001</v>
      </c>
      <c r="N580" s="204">
        <f t="shared" si="143"/>
        <v>10.903188</v>
      </c>
    </row>
    <row r="581" spans="1:14" x14ac:dyDescent="0.25">
      <c r="A581" s="271">
        <v>28</v>
      </c>
      <c r="B581" s="272">
        <f t="shared" si="134"/>
        <v>74.171123355887758</v>
      </c>
      <c r="C581" s="273">
        <f t="shared" si="135"/>
        <v>74.171123355887758</v>
      </c>
      <c r="D581" s="273">
        <f t="shared" si="145"/>
        <v>74.171123355887758</v>
      </c>
      <c r="E581" s="273">
        <f t="shared" si="146"/>
        <v>74.171123355887758</v>
      </c>
      <c r="F581" s="266">
        <f t="shared" si="136"/>
        <v>2</v>
      </c>
      <c r="G581" s="266">
        <f t="shared" si="137"/>
        <v>2</v>
      </c>
      <c r="H581" s="266">
        <f t="shared" si="138"/>
        <v>2</v>
      </c>
      <c r="I581" s="312">
        <f t="shared" si="139"/>
        <v>1.1110800000000001</v>
      </c>
      <c r="J581" s="312">
        <f t="shared" si="140"/>
        <v>1.3690800000000001</v>
      </c>
      <c r="K581" s="312">
        <f t="shared" si="141"/>
        <v>1.6878</v>
      </c>
      <c r="L581" s="204">
        <f t="shared" si="144"/>
        <v>7.1775768000000006</v>
      </c>
      <c r="M581" s="204">
        <f t="shared" si="142"/>
        <v>8.8442568000000001</v>
      </c>
      <c r="N581" s="204">
        <f t="shared" si="143"/>
        <v>10.903188</v>
      </c>
    </row>
    <row r="582" spans="1:14" x14ac:dyDescent="0.25">
      <c r="A582" s="271">
        <v>29</v>
      </c>
      <c r="B582" s="272">
        <f t="shared" si="134"/>
        <v>73.595668821270266</v>
      </c>
      <c r="C582" s="273">
        <f t="shared" si="135"/>
        <v>73.595668821270266</v>
      </c>
      <c r="D582" s="273">
        <f t="shared" si="145"/>
        <v>73.595668821270266</v>
      </c>
      <c r="E582" s="273">
        <f t="shared" si="146"/>
        <v>73.595668821270266</v>
      </c>
      <c r="F582" s="266">
        <f t="shared" si="136"/>
        <v>2</v>
      </c>
      <c r="G582" s="266">
        <f t="shared" si="137"/>
        <v>2</v>
      </c>
      <c r="H582" s="266">
        <f t="shared" si="138"/>
        <v>2</v>
      </c>
      <c r="I582" s="312">
        <f t="shared" si="139"/>
        <v>1.1110800000000001</v>
      </c>
      <c r="J582" s="312">
        <f t="shared" si="140"/>
        <v>1.3690800000000001</v>
      </c>
      <c r="K582" s="312">
        <f t="shared" si="141"/>
        <v>1.6878</v>
      </c>
      <c r="L582" s="204">
        <f t="shared" si="144"/>
        <v>7.1775768000000006</v>
      </c>
      <c r="M582" s="204">
        <f t="shared" si="142"/>
        <v>8.8442568000000001</v>
      </c>
      <c r="N582" s="204">
        <f t="shared" si="143"/>
        <v>10.903188</v>
      </c>
    </row>
    <row r="583" spans="1:14" x14ac:dyDescent="0.25">
      <c r="A583" s="271">
        <v>30</v>
      </c>
      <c r="B583" s="272">
        <f t="shared" si="134"/>
        <v>73.002950650614267</v>
      </c>
      <c r="C583" s="273">
        <f t="shared" si="135"/>
        <v>73.002950650614267</v>
      </c>
      <c r="D583" s="273">
        <f t="shared" si="145"/>
        <v>73.002950650614267</v>
      </c>
      <c r="E583" s="273">
        <f t="shared" si="146"/>
        <v>73.002950650614267</v>
      </c>
      <c r="F583" s="266">
        <f t="shared" si="136"/>
        <v>2</v>
      </c>
      <c r="G583" s="266">
        <f t="shared" si="137"/>
        <v>2</v>
      </c>
      <c r="H583" s="266">
        <f t="shared" si="138"/>
        <v>2</v>
      </c>
      <c r="I583" s="312">
        <f t="shared" si="139"/>
        <v>1.1110800000000001</v>
      </c>
      <c r="J583" s="312">
        <f t="shared" si="140"/>
        <v>1.3690800000000001</v>
      </c>
      <c r="K583" s="312">
        <f t="shared" si="141"/>
        <v>1.6878</v>
      </c>
      <c r="L583" s="204">
        <f t="shared" si="144"/>
        <v>7.1775768000000006</v>
      </c>
      <c r="M583" s="204">
        <f t="shared" si="142"/>
        <v>8.8442568000000001</v>
      </c>
      <c r="N583" s="204">
        <f t="shared" si="143"/>
        <v>10.903188</v>
      </c>
    </row>
    <row r="584" spans="1:14" x14ac:dyDescent="0.25">
      <c r="A584" s="271">
        <v>31</v>
      </c>
      <c r="B584" s="272">
        <f t="shared" si="134"/>
        <v>72.392450934838564</v>
      </c>
      <c r="C584" s="273">
        <f t="shared" si="135"/>
        <v>72.392450934838564</v>
      </c>
      <c r="D584" s="273">
        <f>C584</f>
        <v>72.392450934838564</v>
      </c>
      <c r="E584" s="273">
        <f>D584</f>
        <v>72.392450934838564</v>
      </c>
      <c r="F584" s="266">
        <f t="shared" si="136"/>
        <v>2</v>
      </c>
      <c r="G584" s="266">
        <f t="shared" si="137"/>
        <v>2</v>
      </c>
      <c r="H584" s="266">
        <f t="shared" si="138"/>
        <v>2</v>
      </c>
      <c r="I584" s="312">
        <f>0.000135*(F584)^3-0.002*(F584)^2+0.036*(F584)+1.046</f>
        <v>1.1110800000000001</v>
      </c>
      <c r="J584" s="312">
        <f>0.000135*(G584)^3-0.002*(G584)^2+0.04*(G584)+1.296</f>
        <v>1.3690800000000001</v>
      </c>
      <c r="K584" s="312">
        <f>0.00095*(H584)^2+0.022*(H584)+1.64</f>
        <v>1.6878</v>
      </c>
      <c r="L584" s="204">
        <f t="shared" ref="L584:N585" si="147">$B$550*I584</f>
        <v>7.1775768000000006</v>
      </c>
      <c r="M584" s="204">
        <f t="shared" si="147"/>
        <v>8.8442568000000001</v>
      </c>
      <c r="N584" s="204">
        <f t="shared" si="147"/>
        <v>10.903188</v>
      </c>
    </row>
    <row r="585" spans="1:14" x14ac:dyDescent="0.25">
      <c r="A585" s="271">
        <v>32</v>
      </c>
      <c r="B585" s="272">
        <f t="shared" si="134"/>
        <v>71.763636227589615</v>
      </c>
      <c r="C585" s="273">
        <f t="shared" si="135"/>
        <v>71.763636227589615</v>
      </c>
      <c r="D585" s="273">
        <f>C585</f>
        <v>71.763636227589615</v>
      </c>
      <c r="E585" s="273">
        <f>D585</f>
        <v>71.763636227589615</v>
      </c>
      <c r="F585" s="266">
        <f t="shared" si="136"/>
        <v>2</v>
      </c>
      <c r="G585" s="266">
        <f t="shared" si="137"/>
        <v>2</v>
      </c>
      <c r="H585" s="266">
        <f t="shared" si="138"/>
        <v>2</v>
      </c>
      <c r="I585" s="312">
        <f>0.000135*(F585)^3-0.002*(F585)^2+0.036*(F585)+1.046</f>
        <v>1.1110800000000001</v>
      </c>
      <c r="J585" s="312">
        <f>0.000135*(G585)^3-0.002*(G585)^2+0.04*(G585)+1.296</f>
        <v>1.3690800000000001</v>
      </c>
      <c r="K585" s="312">
        <f>0.00095*(H585)^2+0.022*(H585)+1.64</f>
        <v>1.6878</v>
      </c>
      <c r="L585" s="204">
        <f t="shared" si="147"/>
        <v>7.1775768000000006</v>
      </c>
      <c r="M585" s="204">
        <f t="shared" si="147"/>
        <v>8.8442568000000001</v>
      </c>
      <c r="N585" s="204">
        <f t="shared" si="147"/>
        <v>10.903188</v>
      </c>
    </row>
    <row r="586" spans="1:14" x14ac:dyDescent="0.25">
      <c r="A586" s="239" t="s">
        <v>44</v>
      </c>
      <c r="B586" s="239"/>
      <c r="C586" s="19"/>
    </row>
    <row r="587" spans="1:14" x14ac:dyDescent="0.25">
      <c r="A587" t="s">
        <v>275</v>
      </c>
      <c r="C587" t="s">
        <v>259</v>
      </c>
    </row>
    <row r="588" spans="1:14" x14ac:dyDescent="0.25">
      <c r="A588" s="43" t="s">
        <v>228</v>
      </c>
      <c r="B588" s="43">
        <f>B550</f>
        <v>6.46</v>
      </c>
    </row>
    <row r="589" spans="1:14" x14ac:dyDescent="0.25">
      <c r="A589" s="43" t="s">
        <v>99</v>
      </c>
      <c r="B589" s="169" t="str">
        <f>B513</f>
        <v>P</v>
      </c>
      <c r="C589" s="575" t="s">
        <v>229</v>
      </c>
      <c r="D589" s="575"/>
      <c r="E589" s="575"/>
      <c r="F589" s="575" t="s">
        <v>230</v>
      </c>
      <c r="G589" s="576"/>
      <c r="H589" s="576"/>
      <c r="I589" s="575" t="s">
        <v>231</v>
      </c>
      <c r="J589" s="575"/>
      <c r="K589" s="575"/>
      <c r="L589" s="575" t="s">
        <v>240</v>
      </c>
      <c r="M589" s="575"/>
      <c r="N589" s="575"/>
    </row>
    <row r="590" spans="1:14" x14ac:dyDescent="0.25">
      <c r="A590" s="35" t="s">
        <v>18</v>
      </c>
      <c r="B590" s="95" t="s">
        <v>20</v>
      </c>
      <c r="C590" s="270" t="s">
        <v>233</v>
      </c>
      <c r="D590" s="270" t="s">
        <v>234</v>
      </c>
      <c r="E590" s="270" t="s">
        <v>235</v>
      </c>
      <c r="F590" s="270" t="s">
        <v>233</v>
      </c>
      <c r="G590" s="270" t="s">
        <v>234</v>
      </c>
      <c r="H590" s="270" t="s">
        <v>235</v>
      </c>
      <c r="I590" s="270" t="s">
        <v>233</v>
      </c>
      <c r="J590" s="270" t="s">
        <v>234</v>
      </c>
      <c r="K590" s="270" t="s">
        <v>235</v>
      </c>
      <c r="L590" s="270" t="s">
        <v>233</v>
      </c>
      <c r="M590" s="270" t="s">
        <v>234</v>
      </c>
      <c r="N590" s="270" t="s">
        <v>235</v>
      </c>
    </row>
    <row r="591" spans="1:14" x14ac:dyDescent="0.25">
      <c r="A591" s="271">
        <v>0</v>
      </c>
      <c r="B591" s="272">
        <f>B96*$G$504</f>
        <v>64.941176470588232</v>
      </c>
      <c r="C591" s="273">
        <f>B591</f>
        <v>64.941176470588232</v>
      </c>
      <c r="D591" s="273">
        <f>C591</f>
        <v>64.941176470588232</v>
      </c>
      <c r="E591" s="273">
        <f>D591</f>
        <v>64.941176470588232</v>
      </c>
      <c r="F591" s="266">
        <f>IF(C591&gt;$B$497,2,IF(C591&gt;$B$498,3,IF(C591&gt;$B$499,4,IF(C591&gt;$B$500,5,IF(C591&gt;$B$501,6,IF(C591&gt;$B$502,7,IF(C591&gt;$B$503,8,IF(C591&gt;$B$504,9,IF(C591&gt;$B$505,10,IF(C591&gt;$B$506,11,IF(C591&gt;$B$507,12,12)))))))))))</f>
        <v>5</v>
      </c>
      <c r="G591" s="266">
        <f>IF(D591&gt;$C$497,2,IF(D591&gt;$C$498,3,IF(D591&gt;$C$499,4,IF(D591&gt;$C$500,5,IF(D591&gt;$C$501,6,IF(D591&gt;$C$502,7,IF(D591&gt;$C$503,8,IF(D591&gt;$C$504,9,IF(D591&gt;$C$505,10,IF(D591&gt;$C$506,11,IF(D591&gt;$C$507,12,12)))))))))))</f>
        <v>2</v>
      </c>
      <c r="H591" s="266">
        <f>IF(E591&gt;$D$497,2,IF(E591&gt;$D$498,3,IF(E591&gt;$D$499,4,IF(E591&gt;$D$500,5,IF(E591&gt;$D$501,6,IF(E591&gt;$D$502,7,IF(E591&gt;$D$503,8,IF(E591&gt;$D$504,9,IF(E591&gt;$D$505,10,IF(E591&gt;$D$506,11,IF(E591&gt;$D$507,12,12)))))))))))</f>
        <v>2</v>
      </c>
      <c r="I591" s="312">
        <f>0.000135*(F591)^3-0.002*(F591)^2+0.036*(F591)+1.046</f>
        <v>1.1928749999999999</v>
      </c>
      <c r="J591" s="312">
        <f>0.000135*(G591)^3-0.002*(G591)^2+0.04*(G591)+1.296</f>
        <v>1.3690800000000001</v>
      </c>
      <c r="K591" s="312">
        <f>0.00095*(H591)^2+0.022*(H591)+1.64</f>
        <v>1.6878</v>
      </c>
      <c r="L591" s="204">
        <f>$B$588*I591</f>
        <v>7.7059724999999997</v>
      </c>
      <c r="M591" s="204">
        <f>$B$588*J591</f>
        <v>8.8442568000000001</v>
      </c>
      <c r="N591" s="204">
        <f>$B$588*K591</f>
        <v>10.903188</v>
      </c>
    </row>
    <row r="592" spans="1:14" x14ac:dyDescent="0.25">
      <c r="A592" s="271">
        <v>1</v>
      </c>
      <c r="B592" s="272">
        <f t="shared" ref="B592:B623" si="148">B97*$G$504</f>
        <v>64.941176470588232</v>
      </c>
      <c r="C592" s="273">
        <f t="shared" ref="C592:C623" si="149">B592</f>
        <v>64.941176470588232</v>
      </c>
      <c r="D592" s="311">
        <f>C592</f>
        <v>64.941176470588232</v>
      </c>
      <c r="E592" s="311">
        <f>D592</f>
        <v>64.941176470588232</v>
      </c>
      <c r="F592" s="266">
        <f t="shared" ref="F592:F623" si="150">IF(C592&gt;$B$497,2,IF(C592&gt;$B$498,3,IF(C592&gt;$B$499,4,IF(C592&gt;$B$500,5,IF(C592&gt;$B$501,6,IF(C592&gt;$B$502,7,IF(C592&gt;$B$503,8,IF(C592&gt;$B$504,9,IF(C592&gt;$B$505,10,IF(C592&gt;$B$506,11,IF(C592&gt;$B$507,12,12)))))))))))</f>
        <v>5</v>
      </c>
      <c r="G592" s="266">
        <f t="shared" ref="G592:G623" si="151">IF(D592&gt;$C$497,2,IF(D592&gt;$C$498,3,IF(D592&gt;$C$499,4,IF(D592&gt;$C$500,5,IF(D592&gt;$C$501,6,IF(D592&gt;$C$502,7,IF(D592&gt;$C$503,8,IF(D592&gt;$C$504,9,IF(D592&gt;$C$505,10,IF(D592&gt;$C$506,11,IF(D592&gt;$C$507,12,12)))))))))))</f>
        <v>2</v>
      </c>
      <c r="H592" s="266">
        <f t="shared" ref="H592:H623" si="152">IF(E592&gt;$D$497,2,IF(E592&gt;$D$498,3,IF(E592&gt;$D$499,4,IF(E592&gt;$D$500,5,IF(E592&gt;$D$501,6,IF(E592&gt;$D$502,7,IF(E592&gt;$D$503,8,IF(E592&gt;$D$504,9,IF(E592&gt;$D$505,10,IF(E592&gt;$D$506,11,IF(E592&gt;$D$507,12,12)))))))))))</f>
        <v>2</v>
      </c>
      <c r="I592" s="312">
        <f t="shared" ref="I592:I621" si="153">0.000135*(F592)^3-0.002*(F592)^2+0.036*(F592)+1.046</f>
        <v>1.1928749999999999</v>
      </c>
      <c r="J592" s="312">
        <f t="shared" ref="J592:J621" si="154">0.000135*(G592)^3-0.002*(G592)^2+0.04*(G592)+1.296</f>
        <v>1.3690800000000001</v>
      </c>
      <c r="K592" s="312">
        <f t="shared" ref="K592:K621" si="155">0.00095*(H592)^2+0.022*(H592)+1.64</f>
        <v>1.6878</v>
      </c>
      <c r="L592" s="204">
        <f t="shared" ref="L592:L621" si="156">$B$588*I592</f>
        <v>7.7059724999999997</v>
      </c>
      <c r="M592" s="204">
        <f t="shared" ref="M592:M621" si="157">$B$588*J592</f>
        <v>8.8442568000000001</v>
      </c>
      <c r="N592" s="204">
        <f t="shared" ref="N592:N621" si="158">$B$588*K592</f>
        <v>10.903188</v>
      </c>
    </row>
    <row r="593" spans="1:14" x14ac:dyDescent="0.25">
      <c r="A593" s="271">
        <v>2</v>
      </c>
      <c r="B593" s="272">
        <f t="shared" si="148"/>
        <v>64.941176470588232</v>
      </c>
      <c r="C593" s="273">
        <f t="shared" si="149"/>
        <v>64.941176470588232</v>
      </c>
      <c r="D593" s="273">
        <f>C593</f>
        <v>64.941176470588232</v>
      </c>
      <c r="E593" s="273">
        <f>D593</f>
        <v>64.941176470588232</v>
      </c>
      <c r="F593" s="266">
        <f t="shared" si="150"/>
        <v>5</v>
      </c>
      <c r="G593" s="266">
        <f t="shared" si="151"/>
        <v>2</v>
      </c>
      <c r="H593" s="266">
        <f t="shared" si="152"/>
        <v>2</v>
      </c>
      <c r="I593" s="312">
        <f t="shared" si="153"/>
        <v>1.1928749999999999</v>
      </c>
      <c r="J593" s="312">
        <f t="shared" si="154"/>
        <v>1.3690800000000001</v>
      </c>
      <c r="K593" s="312">
        <f t="shared" si="155"/>
        <v>1.6878</v>
      </c>
      <c r="L593" s="204">
        <f t="shared" si="156"/>
        <v>7.7059724999999997</v>
      </c>
      <c r="M593" s="204">
        <f t="shared" si="157"/>
        <v>8.8442568000000001</v>
      </c>
      <c r="N593" s="204">
        <f t="shared" si="158"/>
        <v>10.903188</v>
      </c>
    </row>
    <row r="594" spans="1:14" x14ac:dyDescent="0.25">
      <c r="A594" s="271">
        <v>3</v>
      </c>
      <c r="B594" s="272">
        <f t="shared" si="148"/>
        <v>64.941176470588232</v>
      </c>
      <c r="C594" s="273">
        <f t="shared" si="149"/>
        <v>64.941176470588232</v>
      </c>
      <c r="D594" s="273">
        <f t="shared" ref="D594:D621" si="159">C594</f>
        <v>64.941176470588232</v>
      </c>
      <c r="E594" s="273">
        <f t="shared" ref="E594:E621" si="160">D594</f>
        <v>64.941176470588232</v>
      </c>
      <c r="F594" s="266">
        <f t="shared" si="150"/>
        <v>5</v>
      </c>
      <c r="G594" s="266">
        <f t="shared" si="151"/>
        <v>2</v>
      </c>
      <c r="H594" s="266">
        <f t="shared" si="152"/>
        <v>2</v>
      </c>
      <c r="I594" s="312">
        <f t="shared" si="153"/>
        <v>1.1928749999999999</v>
      </c>
      <c r="J594" s="312">
        <f t="shared" si="154"/>
        <v>1.3690800000000001</v>
      </c>
      <c r="K594" s="312">
        <f t="shared" si="155"/>
        <v>1.6878</v>
      </c>
      <c r="L594" s="204">
        <f t="shared" si="156"/>
        <v>7.7059724999999997</v>
      </c>
      <c r="M594" s="204">
        <f t="shared" si="157"/>
        <v>8.8442568000000001</v>
      </c>
      <c r="N594" s="204">
        <f t="shared" si="158"/>
        <v>10.903188</v>
      </c>
    </row>
    <row r="595" spans="1:14" x14ac:dyDescent="0.25">
      <c r="A595" s="271">
        <v>4</v>
      </c>
      <c r="B595" s="272">
        <f t="shared" si="148"/>
        <v>64.941176470588232</v>
      </c>
      <c r="C595" s="273">
        <f t="shared" si="149"/>
        <v>64.941176470588232</v>
      </c>
      <c r="D595" s="273">
        <f t="shared" si="159"/>
        <v>64.941176470588232</v>
      </c>
      <c r="E595" s="273">
        <f t="shared" si="160"/>
        <v>64.941176470588232</v>
      </c>
      <c r="F595" s="266">
        <f t="shared" si="150"/>
        <v>5</v>
      </c>
      <c r="G595" s="266">
        <f t="shared" si="151"/>
        <v>2</v>
      </c>
      <c r="H595" s="266">
        <f t="shared" si="152"/>
        <v>2</v>
      </c>
      <c r="I595" s="312">
        <f t="shared" si="153"/>
        <v>1.1928749999999999</v>
      </c>
      <c r="J595" s="312">
        <f t="shared" si="154"/>
        <v>1.3690800000000001</v>
      </c>
      <c r="K595" s="312">
        <f t="shared" si="155"/>
        <v>1.6878</v>
      </c>
      <c r="L595" s="204">
        <f t="shared" si="156"/>
        <v>7.7059724999999997</v>
      </c>
      <c r="M595" s="204">
        <f t="shared" si="157"/>
        <v>8.8442568000000001</v>
      </c>
      <c r="N595" s="204">
        <f t="shared" si="158"/>
        <v>10.903188</v>
      </c>
    </row>
    <row r="596" spans="1:14" x14ac:dyDescent="0.25">
      <c r="A596" s="271">
        <v>5</v>
      </c>
      <c r="B596" s="272">
        <f t="shared" si="148"/>
        <v>64.941176470588232</v>
      </c>
      <c r="C596" s="273">
        <f t="shared" si="149"/>
        <v>64.941176470588232</v>
      </c>
      <c r="D596" s="273">
        <f t="shared" si="159"/>
        <v>64.941176470588232</v>
      </c>
      <c r="E596" s="273">
        <f t="shared" si="160"/>
        <v>64.941176470588232</v>
      </c>
      <c r="F596" s="266">
        <f t="shared" si="150"/>
        <v>5</v>
      </c>
      <c r="G596" s="266">
        <f t="shared" si="151"/>
        <v>2</v>
      </c>
      <c r="H596" s="266">
        <f t="shared" si="152"/>
        <v>2</v>
      </c>
      <c r="I596" s="312">
        <f t="shared" si="153"/>
        <v>1.1928749999999999</v>
      </c>
      <c r="J596" s="312">
        <f t="shared" si="154"/>
        <v>1.3690800000000001</v>
      </c>
      <c r="K596" s="312">
        <f t="shared" si="155"/>
        <v>1.6878</v>
      </c>
      <c r="L596" s="204">
        <f t="shared" si="156"/>
        <v>7.7059724999999997</v>
      </c>
      <c r="M596" s="204">
        <f t="shared" si="157"/>
        <v>8.8442568000000001</v>
      </c>
      <c r="N596" s="204">
        <f t="shared" si="158"/>
        <v>10.903188</v>
      </c>
    </row>
    <row r="597" spans="1:14" x14ac:dyDescent="0.25">
      <c r="A597" s="271">
        <v>6</v>
      </c>
      <c r="B597" s="272">
        <f t="shared" si="148"/>
        <v>64.941176470588232</v>
      </c>
      <c r="C597" s="273">
        <f t="shared" si="149"/>
        <v>64.941176470588232</v>
      </c>
      <c r="D597" s="273">
        <f t="shared" si="159"/>
        <v>64.941176470588232</v>
      </c>
      <c r="E597" s="273">
        <f t="shared" si="160"/>
        <v>64.941176470588232</v>
      </c>
      <c r="F597" s="266">
        <f t="shared" si="150"/>
        <v>5</v>
      </c>
      <c r="G597" s="266">
        <f t="shared" si="151"/>
        <v>2</v>
      </c>
      <c r="H597" s="266">
        <f t="shared" si="152"/>
        <v>2</v>
      </c>
      <c r="I597" s="312">
        <f t="shared" si="153"/>
        <v>1.1928749999999999</v>
      </c>
      <c r="J597" s="312">
        <f t="shared" si="154"/>
        <v>1.3690800000000001</v>
      </c>
      <c r="K597" s="312">
        <f t="shared" si="155"/>
        <v>1.6878</v>
      </c>
      <c r="L597" s="204">
        <f t="shared" si="156"/>
        <v>7.7059724999999997</v>
      </c>
      <c r="M597" s="204">
        <f t="shared" si="157"/>
        <v>8.8442568000000001</v>
      </c>
      <c r="N597" s="204">
        <f t="shared" si="158"/>
        <v>10.903188</v>
      </c>
    </row>
    <row r="598" spans="1:14" x14ac:dyDescent="0.25">
      <c r="A598" s="271">
        <v>7</v>
      </c>
      <c r="B598" s="272">
        <f t="shared" si="148"/>
        <v>64.941176470588232</v>
      </c>
      <c r="C598" s="273">
        <f t="shared" si="149"/>
        <v>64.941176470588232</v>
      </c>
      <c r="D598" s="273">
        <f t="shared" si="159"/>
        <v>64.941176470588232</v>
      </c>
      <c r="E598" s="273">
        <f t="shared" si="160"/>
        <v>64.941176470588232</v>
      </c>
      <c r="F598" s="266">
        <f t="shared" si="150"/>
        <v>5</v>
      </c>
      <c r="G598" s="266">
        <f t="shared" si="151"/>
        <v>2</v>
      </c>
      <c r="H598" s="266">
        <f t="shared" si="152"/>
        <v>2</v>
      </c>
      <c r="I598" s="312">
        <f t="shared" si="153"/>
        <v>1.1928749999999999</v>
      </c>
      <c r="J598" s="312">
        <f t="shared" si="154"/>
        <v>1.3690800000000001</v>
      </c>
      <c r="K598" s="312">
        <f t="shared" si="155"/>
        <v>1.6878</v>
      </c>
      <c r="L598" s="204">
        <f t="shared" si="156"/>
        <v>7.7059724999999997</v>
      </c>
      <c r="M598" s="204">
        <f t="shared" si="157"/>
        <v>8.8442568000000001</v>
      </c>
      <c r="N598" s="204">
        <f t="shared" si="158"/>
        <v>10.903188</v>
      </c>
    </row>
    <row r="599" spans="1:14" x14ac:dyDescent="0.25">
      <c r="A599" s="271">
        <v>8</v>
      </c>
      <c r="B599" s="272">
        <f t="shared" si="148"/>
        <v>64.941176470588232</v>
      </c>
      <c r="C599" s="273">
        <f t="shared" si="149"/>
        <v>64.941176470588232</v>
      </c>
      <c r="D599" s="273">
        <f t="shared" si="159"/>
        <v>64.941176470588232</v>
      </c>
      <c r="E599" s="273">
        <f t="shared" si="160"/>
        <v>64.941176470588232</v>
      </c>
      <c r="F599" s="266">
        <f t="shared" si="150"/>
        <v>5</v>
      </c>
      <c r="G599" s="266">
        <f t="shared" si="151"/>
        <v>2</v>
      </c>
      <c r="H599" s="266">
        <f t="shared" si="152"/>
        <v>2</v>
      </c>
      <c r="I599" s="312">
        <f t="shared" si="153"/>
        <v>1.1928749999999999</v>
      </c>
      <c r="J599" s="312">
        <f t="shared" si="154"/>
        <v>1.3690800000000001</v>
      </c>
      <c r="K599" s="312">
        <f t="shared" si="155"/>
        <v>1.6878</v>
      </c>
      <c r="L599" s="204">
        <f t="shared" si="156"/>
        <v>7.7059724999999997</v>
      </c>
      <c r="M599" s="204">
        <f t="shared" si="157"/>
        <v>8.8442568000000001</v>
      </c>
      <c r="N599" s="204">
        <f t="shared" si="158"/>
        <v>10.903188</v>
      </c>
    </row>
    <row r="600" spans="1:14" x14ac:dyDescent="0.25">
      <c r="A600" s="271">
        <v>9</v>
      </c>
      <c r="B600" s="272">
        <f t="shared" si="148"/>
        <v>64.941176470588232</v>
      </c>
      <c r="C600" s="273">
        <f t="shared" si="149"/>
        <v>64.941176470588232</v>
      </c>
      <c r="D600" s="273">
        <f t="shared" si="159"/>
        <v>64.941176470588232</v>
      </c>
      <c r="E600" s="273">
        <f t="shared" si="160"/>
        <v>64.941176470588232</v>
      </c>
      <c r="F600" s="266">
        <f t="shared" si="150"/>
        <v>5</v>
      </c>
      <c r="G600" s="266">
        <f t="shared" si="151"/>
        <v>2</v>
      </c>
      <c r="H600" s="266">
        <f t="shared" si="152"/>
        <v>2</v>
      </c>
      <c r="I600" s="312">
        <f t="shared" si="153"/>
        <v>1.1928749999999999</v>
      </c>
      <c r="J600" s="312">
        <f t="shared" si="154"/>
        <v>1.3690800000000001</v>
      </c>
      <c r="K600" s="312">
        <f t="shared" si="155"/>
        <v>1.6878</v>
      </c>
      <c r="L600" s="204">
        <f t="shared" si="156"/>
        <v>7.7059724999999997</v>
      </c>
      <c r="M600" s="204">
        <f t="shared" si="157"/>
        <v>8.8442568000000001</v>
      </c>
      <c r="N600" s="204">
        <f t="shared" si="158"/>
        <v>10.903188</v>
      </c>
    </row>
    <row r="601" spans="1:14" x14ac:dyDescent="0.25">
      <c r="A601" s="271">
        <v>10</v>
      </c>
      <c r="B601" s="272">
        <f t="shared" si="148"/>
        <v>64.941176470588232</v>
      </c>
      <c r="C601" s="273">
        <f t="shared" si="149"/>
        <v>64.941176470588232</v>
      </c>
      <c r="D601" s="273">
        <f t="shared" si="159"/>
        <v>64.941176470588232</v>
      </c>
      <c r="E601" s="273">
        <f t="shared" si="160"/>
        <v>64.941176470588232</v>
      </c>
      <c r="F601" s="266">
        <f t="shared" si="150"/>
        <v>5</v>
      </c>
      <c r="G601" s="266">
        <f t="shared" si="151"/>
        <v>2</v>
      </c>
      <c r="H601" s="266">
        <f t="shared" si="152"/>
        <v>2</v>
      </c>
      <c r="I601" s="312">
        <f t="shared" si="153"/>
        <v>1.1928749999999999</v>
      </c>
      <c r="J601" s="312">
        <f t="shared" si="154"/>
        <v>1.3690800000000001</v>
      </c>
      <c r="K601" s="312">
        <f t="shared" si="155"/>
        <v>1.6878</v>
      </c>
      <c r="L601" s="204">
        <f t="shared" si="156"/>
        <v>7.7059724999999997</v>
      </c>
      <c r="M601" s="204">
        <f t="shared" si="157"/>
        <v>8.8442568000000001</v>
      </c>
      <c r="N601" s="204">
        <f t="shared" si="158"/>
        <v>10.903188</v>
      </c>
    </row>
    <row r="602" spans="1:14" x14ac:dyDescent="0.25">
      <c r="A602" s="271">
        <v>11</v>
      </c>
      <c r="B602" s="272">
        <f t="shared" si="148"/>
        <v>64.941176470588232</v>
      </c>
      <c r="C602" s="273">
        <f t="shared" si="149"/>
        <v>64.941176470588232</v>
      </c>
      <c r="D602" s="273">
        <f t="shared" si="159"/>
        <v>64.941176470588232</v>
      </c>
      <c r="E602" s="273">
        <f t="shared" si="160"/>
        <v>64.941176470588232</v>
      </c>
      <c r="F602" s="266">
        <f t="shared" si="150"/>
        <v>5</v>
      </c>
      <c r="G602" s="266">
        <f t="shared" si="151"/>
        <v>2</v>
      </c>
      <c r="H602" s="266">
        <f t="shared" si="152"/>
        <v>2</v>
      </c>
      <c r="I602" s="312">
        <f t="shared" si="153"/>
        <v>1.1928749999999999</v>
      </c>
      <c r="J602" s="312">
        <f t="shared" si="154"/>
        <v>1.3690800000000001</v>
      </c>
      <c r="K602" s="312">
        <f t="shared" si="155"/>
        <v>1.6878</v>
      </c>
      <c r="L602" s="204">
        <f t="shared" si="156"/>
        <v>7.7059724999999997</v>
      </c>
      <c r="M602" s="204">
        <f t="shared" si="157"/>
        <v>8.8442568000000001</v>
      </c>
      <c r="N602" s="204">
        <f t="shared" si="158"/>
        <v>10.903188</v>
      </c>
    </row>
    <row r="603" spans="1:14" x14ac:dyDescent="0.25">
      <c r="A603" s="271">
        <v>12</v>
      </c>
      <c r="B603" s="272">
        <f t="shared" si="148"/>
        <v>58.44705882352941</v>
      </c>
      <c r="C603" s="273">
        <f t="shared" si="149"/>
        <v>58.44705882352941</v>
      </c>
      <c r="D603" s="273">
        <f t="shared" si="159"/>
        <v>58.44705882352941</v>
      </c>
      <c r="E603" s="273">
        <f t="shared" si="160"/>
        <v>58.44705882352941</v>
      </c>
      <c r="F603" s="266">
        <f t="shared" si="150"/>
        <v>8</v>
      </c>
      <c r="G603" s="266">
        <f t="shared" si="151"/>
        <v>2</v>
      </c>
      <c r="H603" s="266">
        <f t="shared" si="152"/>
        <v>2</v>
      </c>
      <c r="I603" s="312">
        <f t="shared" si="153"/>
        <v>1.27512</v>
      </c>
      <c r="J603" s="312">
        <f t="shared" si="154"/>
        <v>1.3690800000000001</v>
      </c>
      <c r="K603" s="312">
        <f t="shared" si="155"/>
        <v>1.6878</v>
      </c>
      <c r="L603" s="204">
        <f t="shared" si="156"/>
        <v>8.2372752000000009</v>
      </c>
      <c r="M603" s="204">
        <f t="shared" si="157"/>
        <v>8.8442568000000001</v>
      </c>
      <c r="N603" s="204">
        <f t="shared" si="158"/>
        <v>10.903188</v>
      </c>
    </row>
    <row r="604" spans="1:14" x14ac:dyDescent="0.25">
      <c r="A604" s="271">
        <v>13</v>
      </c>
      <c r="B604" s="272">
        <f t="shared" si="148"/>
        <v>58.44705882352941</v>
      </c>
      <c r="C604" s="273">
        <f t="shared" si="149"/>
        <v>58.44705882352941</v>
      </c>
      <c r="D604" s="273">
        <f t="shared" si="159"/>
        <v>58.44705882352941</v>
      </c>
      <c r="E604" s="273">
        <f t="shared" si="160"/>
        <v>58.44705882352941</v>
      </c>
      <c r="F604" s="266">
        <f t="shared" si="150"/>
        <v>8</v>
      </c>
      <c r="G604" s="266">
        <f t="shared" si="151"/>
        <v>2</v>
      </c>
      <c r="H604" s="266">
        <f t="shared" si="152"/>
        <v>2</v>
      </c>
      <c r="I604" s="312">
        <f t="shared" si="153"/>
        <v>1.27512</v>
      </c>
      <c r="J604" s="312">
        <f t="shared" si="154"/>
        <v>1.3690800000000001</v>
      </c>
      <c r="K604" s="312">
        <f t="shared" si="155"/>
        <v>1.6878</v>
      </c>
      <c r="L604" s="204">
        <f t="shared" si="156"/>
        <v>8.2372752000000009</v>
      </c>
      <c r="M604" s="204">
        <f t="shared" si="157"/>
        <v>8.8442568000000001</v>
      </c>
      <c r="N604" s="204">
        <f t="shared" si="158"/>
        <v>10.903188</v>
      </c>
    </row>
    <row r="605" spans="1:14" x14ac:dyDescent="0.25">
      <c r="A605" s="271">
        <v>14</v>
      </c>
      <c r="B605" s="272">
        <f t="shared" si="148"/>
        <v>58.44705882352941</v>
      </c>
      <c r="C605" s="273">
        <f t="shared" si="149"/>
        <v>58.44705882352941</v>
      </c>
      <c r="D605" s="273">
        <f t="shared" si="159"/>
        <v>58.44705882352941</v>
      </c>
      <c r="E605" s="273">
        <f t="shared" si="160"/>
        <v>58.44705882352941</v>
      </c>
      <c r="F605" s="266">
        <f t="shared" si="150"/>
        <v>8</v>
      </c>
      <c r="G605" s="266">
        <f t="shared" si="151"/>
        <v>2</v>
      </c>
      <c r="H605" s="266">
        <f t="shared" si="152"/>
        <v>2</v>
      </c>
      <c r="I605" s="312">
        <f t="shared" si="153"/>
        <v>1.27512</v>
      </c>
      <c r="J605" s="312">
        <f t="shared" si="154"/>
        <v>1.3690800000000001</v>
      </c>
      <c r="K605" s="312">
        <f t="shared" si="155"/>
        <v>1.6878</v>
      </c>
      <c r="L605" s="204">
        <f t="shared" si="156"/>
        <v>8.2372752000000009</v>
      </c>
      <c r="M605" s="204">
        <f t="shared" si="157"/>
        <v>8.8442568000000001</v>
      </c>
      <c r="N605" s="204">
        <f t="shared" si="158"/>
        <v>10.903188</v>
      </c>
    </row>
    <row r="606" spans="1:14" x14ac:dyDescent="0.25">
      <c r="A606" s="271">
        <v>15</v>
      </c>
      <c r="B606" s="272">
        <f t="shared" si="148"/>
        <v>58.44705882352941</v>
      </c>
      <c r="C606" s="273">
        <f t="shared" si="149"/>
        <v>58.44705882352941</v>
      </c>
      <c r="D606" s="273">
        <f t="shared" si="159"/>
        <v>58.44705882352941</v>
      </c>
      <c r="E606" s="273">
        <f t="shared" si="160"/>
        <v>58.44705882352941</v>
      </c>
      <c r="F606" s="266">
        <f t="shared" si="150"/>
        <v>8</v>
      </c>
      <c r="G606" s="266">
        <f t="shared" si="151"/>
        <v>2</v>
      </c>
      <c r="H606" s="266">
        <f t="shared" si="152"/>
        <v>2</v>
      </c>
      <c r="I606" s="312">
        <f t="shared" si="153"/>
        <v>1.27512</v>
      </c>
      <c r="J606" s="312">
        <f t="shared" si="154"/>
        <v>1.3690800000000001</v>
      </c>
      <c r="K606" s="312">
        <f t="shared" si="155"/>
        <v>1.6878</v>
      </c>
      <c r="L606" s="204">
        <f t="shared" si="156"/>
        <v>8.2372752000000009</v>
      </c>
      <c r="M606" s="204">
        <f t="shared" si="157"/>
        <v>8.8442568000000001</v>
      </c>
      <c r="N606" s="204">
        <f t="shared" si="158"/>
        <v>10.903188</v>
      </c>
    </row>
    <row r="607" spans="1:14" x14ac:dyDescent="0.25">
      <c r="A607" s="271">
        <v>16</v>
      </c>
      <c r="B607" s="272">
        <f t="shared" si="148"/>
        <v>58.44705882352941</v>
      </c>
      <c r="C607" s="273">
        <f t="shared" si="149"/>
        <v>58.44705882352941</v>
      </c>
      <c r="D607" s="273">
        <f t="shared" si="159"/>
        <v>58.44705882352941</v>
      </c>
      <c r="E607" s="273">
        <f t="shared" si="160"/>
        <v>58.44705882352941</v>
      </c>
      <c r="F607" s="266">
        <f t="shared" si="150"/>
        <v>8</v>
      </c>
      <c r="G607" s="266">
        <f t="shared" si="151"/>
        <v>2</v>
      </c>
      <c r="H607" s="266">
        <f t="shared" si="152"/>
        <v>2</v>
      </c>
      <c r="I607" s="312">
        <f t="shared" si="153"/>
        <v>1.27512</v>
      </c>
      <c r="J607" s="312">
        <f t="shared" si="154"/>
        <v>1.3690800000000001</v>
      </c>
      <c r="K607" s="312">
        <f t="shared" si="155"/>
        <v>1.6878</v>
      </c>
      <c r="L607" s="204">
        <f t="shared" si="156"/>
        <v>8.2372752000000009</v>
      </c>
      <c r="M607" s="204">
        <f t="shared" si="157"/>
        <v>8.8442568000000001</v>
      </c>
      <c r="N607" s="204">
        <f t="shared" si="158"/>
        <v>10.903188</v>
      </c>
    </row>
    <row r="608" spans="1:14" x14ac:dyDescent="0.25">
      <c r="A608" s="271">
        <v>17</v>
      </c>
      <c r="B608" s="272">
        <f t="shared" si="148"/>
        <v>58.44705882352941</v>
      </c>
      <c r="C608" s="273">
        <f t="shared" si="149"/>
        <v>58.44705882352941</v>
      </c>
      <c r="D608" s="273">
        <f t="shared" si="159"/>
        <v>58.44705882352941</v>
      </c>
      <c r="E608" s="273">
        <f t="shared" si="160"/>
        <v>58.44705882352941</v>
      </c>
      <c r="F608" s="266">
        <f t="shared" si="150"/>
        <v>8</v>
      </c>
      <c r="G608" s="266">
        <f t="shared" si="151"/>
        <v>2</v>
      </c>
      <c r="H608" s="266">
        <f t="shared" si="152"/>
        <v>2</v>
      </c>
      <c r="I608" s="312">
        <f t="shared" si="153"/>
        <v>1.27512</v>
      </c>
      <c r="J608" s="312">
        <f t="shared" si="154"/>
        <v>1.3690800000000001</v>
      </c>
      <c r="K608" s="312">
        <f t="shared" si="155"/>
        <v>1.6878</v>
      </c>
      <c r="L608" s="204">
        <f t="shared" si="156"/>
        <v>8.2372752000000009</v>
      </c>
      <c r="M608" s="204">
        <f t="shared" si="157"/>
        <v>8.8442568000000001</v>
      </c>
      <c r="N608" s="204">
        <f t="shared" si="158"/>
        <v>10.903188</v>
      </c>
    </row>
    <row r="609" spans="1:15" x14ac:dyDescent="0.25">
      <c r="A609" s="271">
        <v>18</v>
      </c>
      <c r="B609" s="272">
        <f t="shared" si="148"/>
        <v>58.44705882352941</v>
      </c>
      <c r="C609" s="273">
        <f t="shared" si="149"/>
        <v>58.44705882352941</v>
      </c>
      <c r="D609" s="273">
        <f t="shared" si="159"/>
        <v>58.44705882352941</v>
      </c>
      <c r="E609" s="273">
        <f t="shared" si="160"/>
        <v>58.44705882352941</v>
      </c>
      <c r="F609" s="266">
        <f t="shared" si="150"/>
        <v>8</v>
      </c>
      <c r="G609" s="266">
        <f t="shared" si="151"/>
        <v>2</v>
      </c>
      <c r="H609" s="266">
        <f t="shared" si="152"/>
        <v>2</v>
      </c>
      <c r="I609" s="312">
        <f t="shared" si="153"/>
        <v>1.27512</v>
      </c>
      <c r="J609" s="312">
        <f t="shared" si="154"/>
        <v>1.3690800000000001</v>
      </c>
      <c r="K609" s="312">
        <f t="shared" si="155"/>
        <v>1.6878</v>
      </c>
      <c r="L609" s="204">
        <f t="shared" si="156"/>
        <v>8.2372752000000009</v>
      </c>
      <c r="M609" s="204">
        <f t="shared" si="157"/>
        <v>8.8442568000000001</v>
      </c>
      <c r="N609" s="204">
        <f t="shared" si="158"/>
        <v>10.903188</v>
      </c>
    </row>
    <row r="610" spans="1:15" x14ac:dyDescent="0.25">
      <c r="A610" s="271">
        <v>19</v>
      </c>
      <c r="B610" s="272">
        <f t="shared" si="148"/>
        <v>58.44705882352941</v>
      </c>
      <c r="C610" s="273">
        <f t="shared" si="149"/>
        <v>58.44705882352941</v>
      </c>
      <c r="D610" s="273">
        <f t="shared" si="159"/>
        <v>58.44705882352941</v>
      </c>
      <c r="E610" s="273">
        <f t="shared" si="160"/>
        <v>58.44705882352941</v>
      </c>
      <c r="F610" s="266">
        <f t="shared" si="150"/>
        <v>8</v>
      </c>
      <c r="G610" s="266">
        <f t="shared" si="151"/>
        <v>2</v>
      </c>
      <c r="H610" s="266">
        <f t="shared" si="152"/>
        <v>2</v>
      </c>
      <c r="I610" s="312">
        <f t="shared" si="153"/>
        <v>1.27512</v>
      </c>
      <c r="J610" s="312">
        <f t="shared" si="154"/>
        <v>1.3690800000000001</v>
      </c>
      <c r="K610" s="312">
        <f t="shared" si="155"/>
        <v>1.6878</v>
      </c>
      <c r="L610" s="204">
        <f t="shared" si="156"/>
        <v>8.2372752000000009</v>
      </c>
      <c r="M610" s="204">
        <f t="shared" si="157"/>
        <v>8.8442568000000001</v>
      </c>
      <c r="N610" s="204">
        <f t="shared" si="158"/>
        <v>10.903188</v>
      </c>
    </row>
    <row r="611" spans="1:15" x14ac:dyDescent="0.25">
      <c r="A611" s="271">
        <v>20</v>
      </c>
      <c r="B611" s="272">
        <f t="shared" si="148"/>
        <v>58.44705882352941</v>
      </c>
      <c r="C611" s="273">
        <f t="shared" si="149"/>
        <v>58.44705882352941</v>
      </c>
      <c r="D611" s="273">
        <f t="shared" si="159"/>
        <v>58.44705882352941</v>
      </c>
      <c r="E611" s="273">
        <f t="shared" si="160"/>
        <v>58.44705882352941</v>
      </c>
      <c r="F611" s="266">
        <f t="shared" si="150"/>
        <v>8</v>
      </c>
      <c r="G611" s="266">
        <f t="shared" si="151"/>
        <v>2</v>
      </c>
      <c r="H611" s="266">
        <f t="shared" si="152"/>
        <v>2</v>
      </c>
      <c r="I611" s="312">
        <f t="shared" si="153"/>
        <v>1.27512</v>
      </c>
      <c r="J611" s="312">
        <f t="shared" si="154"/>
        <v>1.3690800000000001</v>
      </c>
      <c r="K611" s="312">
        <f t="shared" si="155"/>
        <v>1.6878</v>
      </c>
      <c r="L611" s="204">
        <f t="shared" si="156"/>
        <v>8.2372752000000009</v>
      </c>
      <c r="M611" s="204">
        <f t="shared" si="157"/>
        <v>8.8442568000000001</v>
      </c>
      <c r="N611" s="204">
        <f t="shared" si="158"/>
        <v>10.903188</v>
      </c>
    </row>
    <row r="612" spans="1:15" x14ac:dyDescent="0.25">
      <c r="A612" s="271">
        <v>21</v>
      </c>
      <c r="B612" s="272">
        <f t="shared" si="148"/>
        <v>58.44705882352941</v>
      </c>
      <c r="C612" s="273">
        <f t="shared" si="149"/>
        <v>58.44705882352941</v>
      </c>
      <c r="D612" s="273">
        <f t="shared" si="159"/>
        <v>58.44705882352941</v>
      </c>
      <c r="E612" s="273">
        <f t="shared" si="160"/>
        <v>58.44705882352941</v>
      </c>
      <c r="F612" s="266">
        <f t="shared" si="150"/>
        <v>8</v>
      </c>
      <c r="G612" s="266">
        <f t="shared" si="151"/>
        <v>2</v>
      </c>
      <c r="H612" s="266">
        <f t="shared" si="152"/>
        <v>2</v>
      </c>
      <c r="I612" s="312">
        <f t="shared" si="153"/>
        <v>1.27512</v>
      </c>
      <c r="J612" s="312">
        <f t="shared" si="154"/>
        <v>1.3690800000000001</v>
      </c>
      <c r="K612" s="312">
        <f t="shared" si="155"/>
        <v>1.6878</v>
      </c>
      <c r="L612" s="204">
        <f t="shared" si="156"/>
        <v>8.2372752000000009</v>
      </c>
      <c r="M612" s="204">
        <f t="shared" si="157"/>
        <v>8.8442568000000001</v>
      </c>
      <c r="N612" s="204">
        <f t="shared" si="158"/>
        <v>10.903188</v>
      </c>
    </row>
    <row r="613" spans="1:15" x14ac:dyDescent="0.25">
      <c r="A613" s="271">
        <v>22</v>
      </c>
      <c r="B613" s="272">
        <f t="shared" si="148"/>
        <v>58.44705882352941</v>
      </c>
      <c r="C613" s="273">
        <f t="shared" si="149"/>
        <v>58.44705882352941</v>
      </c>
      <c r="D613" s="273">
        <f t="shared" si="159"/>
        <v>58.44705882352941</v>
      </c>
      <c r="E613" s="273">
        <f t="shared" si="160"/>
        <v>58.44705882352941</v>
      </c>
      <c r="F613" s="266">
        <f t="shared" si="150"/>
        <v>8</v>
      </c>
      <c r="G613" s="266">
        <f t="shared" si="151"/>
        <v>2</v>
      </c>
      <c r="H613" s="266">
        <f t="shared" si="152"/>
        <v>2</v>
      </c>
      <c r="I613" s="312">
        <f t="shared" si="153"/>
        <v>1.27512</v>
      </c>
      <c r="J613" s="312">
        <f t="shared" si="154"/>
        <v>1.3690800000000001</v>
      </c>
      <c r="K613" s="312">
        <f t="shared" si="155"/>
        <v>1.6878</v>
      </c>
      <c r="L613" s="204">
        <f t="shared" si="156"/>
        <v>8.2372752000000009</v>
      </c>
      <c r="M613" s="204">
        <f t="shared" si="157"/>
        <v>8.8442568000000001</v>
      </c>
      <c r="N613" s="204">
        <f t="shared" si="158"/>
        <v>10.903188</v>
      </c>
    </row>
    <row r="614" spans="1:15" x14ac:dyDescent="0.25">
      <c r="A614" s="271">
        <v>23</v>
      </c>
      <c r="B614" s="272">
        <f t="shared" si="148"/>
        <v>58.44705882352941</v>
      </c>
      <c r="C614" s="273">
        <f t="shared" si="149"/>
        <v>58.44705882352941</v>
      </c>
      <c r="D614" s="273">
        <f t="shared" si="159"/>
        <v>58.44705882352941</v>
      </c>
      <c r="E614" s="273">
        <f t="shared" si="160"/>
        <v>58.44705882352941</v>
      </c>
      <c r="F614" s="266">
        <f t="shared" si="150"/>
        <v>8</v>
      </c>
      <c r="G614" s="266">
        <f t="shared" si="151"/>
        <v>2</v>
      </c>
      <c r="H614" s="266">
        <f t="shared" si="152"/>
        <v>2</v>
      </c>
      <c r="I614" s="312">
        <f t="shared" si="153"/>
        <v>1.27512</v>
      </c>
      <c r="J614" s="312">
        <f t="shared" si="154"/>
        <v>1.3690800000000001</v>
      </c>
      <c r="K614" s="312">
        <f t="shared" si="155"/>
        <v>1.6878</v>
      </c>
      <c r="L614" s="204">
        <f t="shared" si="156"/>
        <v>8.2372752000000009</v>
      </c>
      <c r="M614" s="204">
        <f t="shared" si="157"/>
        <v>8.8442568000000001</v>
      </c>
      <c r="N614" s="204">
        <f t="shared" si="158"/>
        <v>10.903188</v>
      </c>
    </row>
    <row r="615" spans="1:15" x14ac:dyDescent="0.25">
      <c r="A615" s="271">
        <v>24</v>
      </c>
      <c r="B615" s="272">
        <f t="shared" si="148"/>
        <v>58.44705882352941</v>
      </c>
      <c r="C615" s="273">
        <f t="shared" si="149"/>
        <v>58.44705882352941</v>
      </c>
      <c r="D615" s="273">
        <f t="shared" si="159"/>
        <v>58.44705882352941</v>
      </c>
      <c r="E615" s="273">
        <f t="shared" si="160"/>
        <v>58.44705882352941</v>
      </c>
      <c r="F615" s="266">
        <f t="shared" si="150"/>
        <v>8</v>
      </c>
      <c r="G615" s="266">
        <f t="shared" si="151"/>
        <v>2</v>
      </c>
      <c r="H615" s="266">
        <f t="shared" si="152"/>
        <v>2</v>
      </c>
      <c r="I615" s="312">
        <f t="shared" si="153"/>
        <v>1.27512</v>
      </c>
      <c r="J615" s="312">
        <f t="shared" si="154"/>
        <v>1.3690800000000001</v>
      </c>
      <c r="K615" s="312">
        <f t="shared" si="155"/>
        <v>1.6878</v>
      </c>
      <c r="L615" s="204">
        <f t="shared" si="156"/>
        <v>8.2372752000000009</v>
      </c>
      <c r="M615" s="204">
        <f t="shared" si="157"/>
        <v>8.8442568000000001</v>
      </c>
      <c r="N615" s="204">
        <f t="shared" si="158"/>
        <v>10.903188</v>
      </c>
    </row>
    <row r="616" spans="1:15" x14ac:dyDescent="0.25">
      <c r="A616" s="271">
        <v>25</v>
      </c>
      <c r="B616" s="272">
        <f t="shared" si="148"/>
        <v>58.44705882352941</v>
      </c>
      <c r="C616" s="273">
        <f t="shared" si="149"/>
        <v>58.44705882352941</v>
      </c>
      <c r="D616" s="273">
        <f t="shared" si="159"/>
        <v>58.44705882352941</v>
      </c>
      <c r="E616" s="273">
        <f t="shared" si="160"/>
        <v>58.44705882352941</v>
      </c>
      <c r="F616" s="266">
        <f t="shared" si="150"/>
        <v>8</v>
      </c>
      <c r="G616" s="266">
        <f t="shared" si="151"/>
        <v>2</v>
      </c>
      <c r="H616" s="266">
        <f t="shared" si="152"/>
        <v>2</v>
      </c>
      <c r="I616" s="312">
        <f t="shared" si="153"/>
        <v>1.27512</v>
      </c>
      <c r="J616" s="312">
        <f t="shared" si="154"/>
        <v>1.3690800000000001</v>
      </c>
      <c r="K616" s="312">
        <f t="shared" si="155"/>
        <v>1.6878</v>
      </c>
      <c r="L616" s="204">
        <f t="shared" si="156"/>
        <v>8.2372752000000009</v>
      </c>
      <c r="M616" s="204">
        <f t="shared" si="157"/>
        <v>8.8442568000000001</v>
      </c>
      <c r="N616" s="204">
        <f t="shared" si="158"/>
        <v>10.903188</v>
      </c>
    </row>
    <row r="617" spans="1:15" x14ac:dyDescent="0.25">
      <c r="A617" s="271">
        <v>26</v>
      </c>
      <c r="B617" s="272">
        <f t="shared" si="148"/>
        <v>58.44705882352941</v>
      </c>
      <c r="C617" s="273">
        <f t="shared" si="149"/>
        <v>58.44705882352941</v>
      </c>
      <c r="D617" s="273">
        <f t="shared" si="159"/>
        <v>58.44705882352941</v>
      </c>
      <c r="E617" s="273">
        <f t="shared" si="160"/>
        <v>58.44705882352941</v>
      </c>
      <c r="F617" s="266">
        <f t="shared" si="150"/>
        <v>8</v>
      </c>
      <c r="G617" s="266">
        <f t="shared" si="151"/>
        <v>2</v>
      </c>
      <c r="H617" s="266">
        <f t="shared" si="152"/>
        <v>2</v>
      </c>
      <c r="I617" s="312">
        <f t="shared" si="153"/>
        <v>1.27512</v>
      </c>
      <c r="J617" s="312">
        <f t="shared" si="154"/>
        <v>1.3690800000000001</v>
      </c>
      <c r="K617" s="312">
        <f t="shared" si="155"/>
        <v>1.6878</v>
      </c>
      <c r="L617" s="204">
        <f t="shared" si="156"/>
        <v>8.2372752000000009</v>
      </c>
      <c r="M617" s="204">
        <f t="shared" si="157"/>
        <v>8.8442568000000001</v>
      </c>
      <c r="N617" s="204">
        <f t="shared" si="158"/>
        <v>10.903188</v>
      </c>
    </row>
    <row r="618" spans="1:15" x14ac:dyDescent="0.25">
      <c r="A618" s="271">
        <v>27</v>
      </c>
      <c r="B618" s="272">
        <f t="shared" si="148"/>
        <v>58.44705882352941</v>
      </c>
      <c r="C618" s="273">
        <f t="shared" si="149"/>
        <v>58.44705882352941</v>
      </c>
      <c r="D618" s="273">
        <f t="shared" si="159"/>
        <v>58.44705882352941</v>
      </c>
      <c r="E618" s="273">
        <f t="shared" si="160"/>
        <v>58.44705882352941</v>
      </c>
      <c r="F618" s="266">
        <f t="shared" si="150"/>
        <v>8</v>
      </c>
      <c r="G618" s="266">
        <f t="shared" si="151"/>
        <v>2</v>
      </c>
      <c r="H618" s="266">
        <f t="shared" si="152"/>
        <v>2</v>
      </c>
      <c r="I618" s="312">
        <f t="shared" si="153"/>
        <v>1.27512</v>
      </c>
      <c r="J618" s="312">
        <f t="shared" si="154"/>
        <v>1.3690800000000001</v>
      </c>
      <c r="K618" s="312">
        <f t="shared" si="155"/>
        <v>1.6878</v>
      </c>
      <c r="L618" s="204">
        <f t="shared" si="156"/>
        <v>8.2372752000000009</v>
      </c>
      <c r="M618" s="204">
        <f t="shared" si="157"/>
        <v>8.8442568000000001</v>
      </c>
      <c r="N618" s="204">
        <f t="shared" si="158"/>
        <v>10.903188</v>
      </c>
    </row>
    <row r="619" spans="1:15" x14ac:dyDescent="0.25">
      <c r="A619" s="271">
        <v>28</v>
      </c>
      <c r="B619" s="272">
        <f t="shared" si="148"/>
        <v>58.44705882352941</v>
      </c>
      <c r="C619" s="273">
        <f t="shared" si="149"/>
        <v>58.44705882352941</v>
      </c>
      <c r="D619" s="273">
        <f t="shared" si="159"/>
        <v>58.44705882352941</v>
      </c>
      <c r="E619" s="273">
        <f t="shared" si="160"/>
        <v>58.44705882352941</v>
      </c>
      <c r="F619" s="266">
        <f t="shared" si="150"/>
        <v>8</v>
      </c>
      <c r="G619" s="266">
        <f t="shared" si="151"/>
        <v>2</v>
      </c>
      <c r="H619" s="266">
        <f t="shared" si="152"/>
        <v>2</v>
      </c>
      <c r="I619" s="312">
        <f t="shared" si="153"/>
        <v>1.27512</v>
      </c>
      <c r="J619" s="312">
        <f t="shared" si="154"/>
        <v>1.3690800000000001</v>
      </c>
      <c r="K619" s="312">
        <f t="shared" si="155"/>
        <v>1.6878</v>
      </c>
      <c r="L619" s="204">
        <f t="shared" si="156"/>
        <v>8.2372752000000009</v>
      </c>
      <c r="M619" s="204">
        <f t="shared" si="157"/>
        <v>8.8442568000000001</v>
      </c>
      <c r="N619" s="204">
        <f t="shared" si="158"/>
        <v>10.903188</v>
      </c>
    </row>
    <row r="620" spans="1:15" x14ac:dyDescent="0.25">
      <c r="A620" s="271">
        <v>29</v>
      </c>
      <c r="B620" s="272">
        <f t="shared" si="148"/>
        <v>58.44705882352941</v>
      </c>
      <c r="C620" s="273">
        <f t="shared" si="149"/>
        <v>58.44705882352941</v>
      </c>
      <c r="D620" s="273">
        <f t="shared" si="159"/>
        <v>58.44705882352941</v>
      </c>
      <c r="E620" s="273">
        <f t="shared" si="160"/>
        <v>58.44705882352941</v>
      </c>
      <c r="F620" s="266">
        <f t="shared" si="150"/>
        <v>8</v>
      </c>
      <c r="G620" s="266">
        <f t="shared" si="151"/>
        <v>2</v>
      </c>
      <c r="H620" s="266">
        <f t="shared" si="152"/>
        <v>2</v>
      </c>
      <c r="I620" s="312">
        <f t="shared" si="153"/>
        <v>1.27512</v>
      </c>
      <c r="J620" s="312">
        <f t="shared" si="154"/>
        <v>1.3690800000000001</v>
      </c>
      <c r="K620" s="312">
        <f t="shared" si="155"/>
        <v>1.6878</v>
      </c>
      <c r="L620" s="204">
        <f t="shared" si="156"/>
        <v>8.2372752000000009</v>
      </c>
      <c r="M620" s="204">
        <f t="shared" si="157"/>
        <v>8.8442568000000001</v>
      </c>
      <c r="N620" s="204">
        <f t="shared" si="158"/>
        <v>10.903188</v>
      </c>
    </row>
    <row r="621" spans="1:15" x14ac:dyDescent="0.25">
      <c r="A621" s="271">
        <v>30</v>
      </c>
      <c r="B621" s="272">
        <f t="shared" si="148"/>
        <v>58.44705882352941</v>
      </c>
      <c r="C621" s="273">
        <f t="shared" si="149"/>
        <v>58.44705882352941</v>
      </c>
      <c r="D621" s="273">
        <f t="shared" si="159"/>
        <v>58.44705882352941</v>
      </c>
      <c r="E621" s="273">
        <f t="shared" si="160"/>
        <v>58.44705882352941</v>
      </c>
      <c r="F621" s="266">
        <f t="shared" si="150"/>
        <v>8</v>
      </c>
      <c r="G621" s="266">
        <f t="shared" si="151"/>
        <v>2</v>
      </c>
      <c r="H621" s="266">
        <f t="shared" si="152"/>
        <v>2</v>
      </c>
      <c r="I621" s="312">
        <f t="shared" si="153"/>
        <v>1.27512</v>
      </c>
      <c r="J621" s="312">
        <f t="shared" si="154"/>
        <v>1.3690800000000001</v>
      </c>
      <c r="K621" s="312">
        <f t="shared" si="155"/>
        <v>1.6878</v>
      </c>
      <c r="L621" s="204">
        <f t="shared" si="156"/>
        <v>8.2372752000000009</v>
      </c>
      <c r="M621" s="204">
        <f t="shared" si="157"/>
        <v>8.8442568000000001</v>
      </c>
      <c r="N621" s="204">
        <f t="shared" si="158"/>
        <v>10.903188</v>
      </c>
    </row>
    <row r="622" spans="1:15" x14ac:dyDescent="0.25">
      <c r="A622" s="271">
        <v>31</v>
      </c>
      <c r="B622" s="272">
        <f t="shared" si="148"/>
        <v>58.44705882352941</v>
      </c>
      <c r="C622" s="273">
        <f t="shared" si="149"/>
        <v>58.44705882352941</v>
      </c>
      <c r="D622" s="273">
        <f>C622</f>
        <v>58.44705882352941</v>
      </c>
      <c r="E622" s="273">
        <f>D622</f>
        <v>58.44705882352941</v>
      </c>
      <c r="F622" s="266">
        <f t="shared" si="150"/>
        <v>8</v>
      </c>
      <c r="G622" s="266">
        <f t="shared" si="151"/>
        <v>2</v>
      </c>
      <c r="H622" s="266">
        <f t="shared" si="152"/>
        <v>2</v>
      </c>
      <c r="I622" s="312">
        <f>0.000135*(F622)^3-0.002*(F622)^2+0.036*(F622)+1.046</f>
        <v>1.27512</v>
      </c>
      <c r="J622" s="312">
        <f>0.000135*(G622)^3-0.002*(G622)^2+0.04*(G622)+1.296</f>
        <v>1.3690800000000001</v>
      </c>
      <c r="K622" s="312">
        <f>0.00095*(H622)^2+0.022*(H622)+1.64</f>
        <v>1.6878</v>
      </c>
      <c r="L622" s="204">
        <f t="shared" ref="L622:N623" si="161">$B$588*I622</f>
        <v>8.2372752000000009</v>
      </c>
      <c r="M622" s="204">
        <f t="shared" si="161"/>
        <v>8.8442568000000001</v>
      </c>
      <c r="N622" s="204">
        <f t="shared" si="161"/>
        <v>10.903188</v>
      </c>
    </row>
    <row r="623" spans="1:15" x14ac:dyDescent="0.25">
      <c r="A623" s="271">
        <v>32</v>
      </c>
      <c r="B623" s="272">
        <f t="shared" si="148"/>
        <v>58.44705882352941</v>
      </c>
      <c r="C623" s="273">
        <f t="shared" si="149"/>
        <v>58.44705882352941</v>
      </c>
      <c r="D623" s="273">
        <f>C623</f>
        <v>58.44705882352941</v>
      </c>
      <c r="E623" s="273">
        <f>D623</f>
        <v>58.44705882352941</v>
      </c>
      <c r="F623" s="266">
        <f t="shared" si="150"/>
        <v>8</v>
      </c>
      <c r="G623" s="266">
        <f t="shared" si="151"/>
        <v>2</v>
      </c>
      <c r="H623" s="266">
        <f t="shared" si="152"/>
        <v>2</v>
      </c>
      <c r="I623" s="312">
        <f>0.000135*(F623)^3-0.002*(F623)^2+0.036*(F623)+1.046</f>
        <v>1.27512</v>
      </c>
      <c r="J623" s="312">
        <f>0.000135*(G623)^3-0.002*(G623)^2+0.04*(G623)+1.296</f>
        <v>1.3690800000000001</v>
      </c>
      <c r="K623" s="312">
        <f>0.00095*(H623)^2+0.022*(H623)+1.64</f>
        <v>1.6878</v>
      </c>
      <c r="L623" s="204">
        <f t="shared" si="161"/>
        <v>8.2372752000000009</v>
      </c>
      <c r="M623" s="204">
        <f t="shared" si="161"/>
        <v>8.8442568000000001</v>
      </c>
      <c r="N623" s="204">
        <f t="shared" si="161"/>
        <v>10.903188</v>
      </c>
    </row>
    <row r="624" spans="1:15" x14ac:dyDescent="0.25">
      <c r="A624" s="239" t="s">
        <v>267</v>
      </c>
      <c r="B624" s="239"/>
      <c r="C624" s="239"/>
      <c r="D624" s="239"/>
      <c r="E624" s="239"/>
      <c r="F624" s="239"/>
      <c r="G624" s="19"/>
      <c r="I624" s="239" t="s">
        <v>268</v>
      </c>
      <c r="J624" s="239"/>
      <c r="K624" s="239"/>
      <c r="L624" s="239"/>
      <c r="M624" s="239"/>
      <c r="N624" s="239"/>
      <c r="O624" s="19"/>
    </row>
    <row r="625" spans="1:15" x14ac:dyDescent="0.25">
      <c r="A625" t="s">
        <v>243</v>
      </c>
      <c r="F625" s="239" t="s">
        <v>247</v>
      </c>
      <c r="G625" s="239">
        <f>'DATOS DE ENTRADA'!$C$7</f>
        <v>70</v>
      </c>
      <c r="I625" t="s">
        <v>243</v>
      </c>
      <c r="N625" s="239" t="s">
        <v>247</v>
      </c>
      <c r="O625" s="239">
        <f>'DATOS DE ENTRADA'!$C$23</f>
        <v>70</v>
      </c>
    </row>
    <row r="626" spans="1:15" x14ac:dyDescent="0.25">
      <c r="C626" s="569" t="s">
        <v>246</v>
      </c>
      <c r="D626" s="569"/>
      <c r="E626" s="569"/>
      <c r="K626" s="569" t="s">
        <v>246</v>
      </c>
      <c r="L626" s="569"/>
      <c r="M626" s="569"/>
    </row>
    <row r="627" spans="1:15" x14ac:dyDescent="0.25">
      <c r="A627" s="43" t="s">
        <v>18</v>
      </c>
      <c r="B627" s="43" t="s">
        <v>269</v>
      </c>
      <c r="C627" s="298" t="s">
        <v>233</v>
      </c>
      <c r="D627" s="298" t="s">
        <v>234</v>
      </c>
      <c r="E627" s="298" t="s">
        <v>235</v>
      </c>
      <c r="I627" s="43" t="s">
        <v>18</v>
      </c>
      <c r="J627" s="43" t="s">
        <v>269</v>
      </c>
      <c r="K627" s="298" t="s">
        <v>233</v>
      </c>
      <c r="L627" s="298" t="s">
        <v>234</v>
      </c>
      <c r="M627" s="298" t="s">
        <v>235</v>
      </c>
    </row>
    <row r="628" spans="1:15" x14ac:dyDescent="0.25">
      <c r="A628" s="43">
        <v>0</v>
      </c>
      <c r="B628" s="200">
        <f>'N CARRILES HCM'!E3</f>
        <v>306</v>
      </c>
      <c r="C628" s="95">
        <f t="shared" ref="C628:C660" si="162">B628*L515*$G$625*365</f>
        <v>62910545.140799992</v>
      </c>
      <c r="D628" s="95">
        <f t="shared" ref="D628:D660" si="163">B628*M515*$G$381*365</f>
        <v>70720826.692320004</v>
      </c>
      <c r="E628" s="95">
        <f t="shared" ref="E628:E660" si="164">B628*N515*$G$381*365</f>
        <v>87939406.532879993</v>
      </c>
      <c r="I628" s="43">
        <v>0</v>
      </c>
      <c r="J628" s="200">
        <f>'N CARRILES HCM'!E40</f>
        <v>306</v>
      </c>
      <c r="K628" s="95">
        <f t="shared" ref="K628:K660" si="165">J628*L553*365*$O$381</f>
        <v>56122509.441599995</v>
      </c>
      <c r="L628" s="95">
        <f t="shared" ref="L628:L660" si="166">J628*M553*365*$O$381</f>
        <v>70720826.692320004</v>
      </c>
      <c r="M628" s="95">
        <f t="shared" ref="M628:M660" si="167">J628*N553*365*$O$381</f>
        <v>87939406.532879993</v>
      </c>
    </row>
    <row r="629" spans="1:15" x14ac:dyDescent="0.25">
      <c r="A629" s="43">
        <v>1</v>
      </c>
      <c r="B629" s="200">
        <f>'N CARRILES HCM'!E4</f>
        <v>315.18</v>
      </c>
      <c r="C629" s="95">
        <f t="shared" si="162"/>
        <v>64797861.495024003</v>
      </c>
      <c r="D629" s="95">
        <f t="shared" si="163"/>
        <v>72842451.493089601</v>
      </c>
      <c r="E629" s="95">
        <f t="shared" si="164"/>
        <v>90577588.728866398</v>
      </c>
      <c r="I629" s="43">
        <v>1</v>
      </c>
      <c r="J629" s="200">
        <f>'N CARRILES HCM'!E41</f>
        <v>315.18</v>
      </c>
      <c r="K629" s="95">
        <f t="shared" si="165"/>
        <v>57799942.156303205</v>
      </c>
      <c r="L629" s="95">
        <f t="shared" si="166"/>
        <v>71221464.527623206</v>
      </c>
      <c r="M629" s="95">
        <f t="shared" si="167"/>
        <v>87801726.582612008</v>
      </c>
    </row>
    <row r="630" spans="1:15" x14ac:dyDescent="0.25">
      <c r="A630" s="43">
        <v>2</v>
      </c>
      <c r="B630" s="200">
        <f>'N CARRILES HCM'!E5</f>
        <v>324.6354</v>
      </c>
      <c r="C630" s="95">
        <f t="shared" si="162"/>
        <v>66741797.339874722</v>
      </c>
      <c r="D630" s="95">
        <f t="shared" si="163"/>
        <v>75027725.037882283</v>
      </c>
      <c r="E630" s="95">
        <f t="shared" si="164"/>
        <v>93294916.390732378</v>
      </c>
      <c r="I630" s="43">
        <v>2</v>
      </c>
      <c r="J630" s="200">
        <f>'N CARRILES HCM'!E42</f>
        <v>324.6354</v>
      </c>
      <c r="K630" s="95">
        <f t="shared" si="165"/>
        <v>59533940.420992292</v>
      </c>
      <c r="L630" s="95">
        <f t="shared" si="166"/>
        <v>73358108.463451892</v>
      </c>
      <c r="M630" s="95">
        <f t="shared" si="167"/>
        <v>90435778.380090371</v>
      </c>
    </row>
    <row r="631" spans="1:15" x14ac:dyDescent="0.25">
      <c r="A631" s="43">
        <v>3</v>
      </c>
      <c r="B631" s="200">
        <f>'N CARRILES HCM'!E6</f>
        <v>334.37446199999999</v>
      </c>
      <c r="C631" s="95">
        <f t="shared" si="162"/>
        <v>68744051.26007095</v>
      </c>
      <c r="D631" s="95">
        <f t="shared" si="163"/>
        <v>77278556.78901875</v>
      </c>
      <c r="E631" s="95">
        <f t="shared" si="164"/>
        <v>96093763.882454365</v>
      </c>
      <c r="I631" s="43">
        <v>3</v>
      </c>
      <c r="J631" s="200">
        <f>'N CARRILES HCM'!E43</f>
        <v>334.37446199999999</v>
      </c>
      <c r="K631" s="95">
        <f t="shared" si="165"/>
        <v>61319958.633622073</v>
      </c>
      <c r="L631" s="95">
        <f t="shared" si="166"/>
        <v>75558851.717355445</v>
      </c>
      <c r="M631" s="95">
        <f t="shared" si="167"/>
        <v>93148851.731493071</v>
      </c>
    </row>
    <row r="632" spans="1:15" x14ac:dyDescent="0.25">
      <c r="A632" s="43">
        <v>4</v>
      </c>
      <c r="B632" s="200">
        <f>'N CARRILES HCM'!E7</f>
        <v>344.40569585999998</v>
      </c>
      <c r="C632" s="95">
        <f t="shared" si="162"/>
        <v>70806372.797873095</v>
      </c>
      <c r="D632" s="95">
        <f t="shared" si="163"/>
        <v>79596913.492689312</v>
      </c>
      <c r="E632" s="95">
        <f t="shared" si="164"/>
        <v>98976576.798927978</v>
      </c>
      <c r="I632" s="43">
        <v>4</v>
      </c>
      <c r="J632" s="200">
        <f>'N CARRILES HCM'!E44</f>
        <v>344.40569585999998</v>
      </c>
      <c r="K632" s="95">
        <f t="shared" si="165"/>
        <v>63159557.392630726</v>
      </c>
      <c r="L632" s="95">
        <f t="shared" si="166"/>
        <v>77825617.26887612</v>
      </c>
      <c r="M632" s="95">
        <f t="shared" si="167"/>
        <v>95943317.283437848</v>
      </c>
    </row>
    <row r="633" spans="1:15" x14ac:dyDescent="0.25">
      <c r="A633" s="43">
        <v>5</v>
      </c>
      <c r="B633" s="200">
        <f>'N CARRILES HCM'!E8</f>
        <v>354.73786673579997</v>
      </c>
      <c r="C633" s="95">
        <f t="shared" si="162"/>
        <v>72930563.981809273</v>
      </c>
      <c r="D633" s="95">
        <f t="shared" si="163"/>
        <v>81984820.897469997</v>
      </c>
      <c r="E633" s="95">
        <f t="shared" si="164"/>
        <v>101945874.10289583</v>
      </c>
      <c r="I633" s="43">
        <v>5</v>
      </c>
      <c r="J633" s="200">
        <f>'N CARRILES HCM'!E45</f>
        <v>354.73786673579997</v>
      </c>
      <c r="K633" s="95">
        <f t="shared" si="165"/>
        <v>65054344.114409648</v>
      </c>
      <c r="L633" s="95">
        <f t="shared" si="166"/>
        <v>80160385.786942393</v>
      </c>
      <c r="M633" s="95">
        <f t="shared" si="167"/>
        <v>98821616.801940978</v>
      </c>
    </row>
    <row r="634" spans="1:15" x14ac:dyDescent="0.25">
      <c r="A634" s="43">
        <v>6</v>
      </c>
      <c r="B634" s="200">
        <f>'N CARRILES HCM'!E9</f>
        <v>365.38000273787395</v>
      </c>
      <c r="C634" s="95">
        <f t="shared" si="162"/>
        <v>75118480.90126355</v>
      </c>
      <c r="D634" s="95">
        <f t="shared" si="163"/>
        <v>84444365.524394095</v>
      </c>
      <c r="E634" s="95">
        <f t="shared" si="164"/>
        <v>105004250.32598267</v>
      </c>
      <c r="I634" s="43">
        <v>6</v>
      </c>
      <c r="J634" s="200">
        <f>'N CARRILES HCM'!E46</f>
        <v>365.38000273787395</v>
      </c>
      <c r="K634" s="95">
        <f t="shared" si="165"/>
        <v>67005974.437841929</v>
      </c>
      <c r="L634" s="95">
        <f t="shared" si="166"/>
        <v>82565197.360550657</v>
      </c>
      <c r="M634" s="95">
        <f t="shared" si="167"/>
        <v>101786265.30599922</v>
      </c>
    </row>
    <row r="635" spans="1:15" x14ac:dyDescent="0.25">
      <c r="A635" s="43">
        <v>7</v>
      </c>
      <c r="B635" s="200">
        <f>'N CARRILES HCM'!E10</f>
        <v>376.34140282001022</v>
      </c>
      <c r="C635" s="95">
        <f t="shared" si="162"/>
        <v>77372035.328301474</v>
      </c>
      <c r="D635" s="95">
        <f t="shared" si="163"/>
        <v>86977696.490125924</v>
      </c>
      <c r="E635" s="95">
        <f t="shared" si="164"/>
        <v>108154377.8357622</v>
      </c>
      <c r="I635" s="43">
        <v>7</v>
      </c>
      <c r="J635" s="200">
        <f>'N CARRILES HCM'!E47</f>
        <v>376.34140282001022</v>
      </c>
      <c r="K635" s="95">
        <f t="shared" si="165"/>
        <v>69016153.670977205</v>
      </c>
      <c r="L635" s="95">
        <f t="shared" si="166"/>
        <v>85042153.281367198</v>
      </c>
      <c r="M635" s="95">
        <f t="shared" si="167"/>
        <v>104839853.2651792</v>
      </c>
    </row>
    <row r="636" spans="1:15" x14ac:dyDescent="0.25">
      <c r="A636" s="43">
        <v>8</v>
      </c>
      <c r="B636" s="200">
        <f>'N CARRILES HCM'!E11</f>
        <v>387.63164490461048</v>
      </c>
      <c r="C636" s="95">
        <f t="shared" si="162"/>
        <v>79693196.388150498</v>
      </c>
      <c r="D636" s="95">
        <f t="shared" si="163"/>
        <v>89587027.384829685</v>
      </c>
      <c r="E636" s="95">
        <f t="shared" si="164"/>
        <v>111399009.17083503</v>
      </c>
      <c r="I636" s="43">
        <v>8</v>
      </c>
      <c r="J636" s="200">
        <f>'N CARRILES HCM'!E48</f>
        <v>387.63164490461048</v>
      </c>
      <c r="K636" s="95">
        <f t="shared" si="165"/>
        <v>71086638.281106517</v>
      </c>
      <c r="L636" s="95">
        <f t="shared" si="166"/>
        <v>87593417.879808202</v>
      </c>
      <c r="M636" s="95">
        <f t="shared" si="167"/>
        <v>107985048.86313459</v>
      </c>
    </row>
    <row r="637" spans="1:15" x14ac:dyDescent="0.25">
      <c r="A637" s="43">
        <v>9</v>
      </c>
      <c r="B637" s="200">
        <f>'N CARRILES HCM'!E12</f>
        <v>399.26059425174878</v>
      </c>
      <c r="C637" s="95">
        <f t="shared" si="162"/>
        <v>82083992.279795021</v>
      </c>
      <c r="D637" s="95">
        <f t="shared" si="163"/>
        <v>92274638.206374571</v>
      </c>
      <c r="E637" s="95">
        <f t="shared" si="164"/>
        <v>114740979.44596007</v>
      </c>
      <c r="I637" s="43">
        <v>9</v>
      </c>
      <c r="J637" s="200">
        <f>'N CARRILES HCM'!E49</f>
        <v>399.26059425174878</v>
      </c>
      <c r="K637" s="95">
        <f t="shared" si="165"/>
        <v>73219237.429539695</v>
      </c>
      <c r="L637" s="95">
        <f t="shared" si="166"/>
        <v>90221220.416202456</v>
      </c>
      <c r="M637" s="95">
        <f t="shared" si="167"/>
        <v>111224600.32902859</v>
      </c>
    </row>
    <row r="638" spans="1:15" x14ac:dyDescent="0.25">
      <c r="A638" s="43">
        <v>10</v>
      </c>
      <c r="B638" s="200">
        <f>'N CARRILES HCM'!E13</f>
        <v>411.23841207930127</v>
      </c>
      <c r="C638" s="95">
        <f t="shared" si="162"/>
        <v>84546512.04818888</v>
      </c>
      <c r="D638" s="95">
        <f t="shared" si="163"/>
        <v>95042877.35256581</v>
      </c>
      <c r="E638" s="95">
        <f t="shared" si="164"/>
        <v>118183208.82933889</v>
      </c>
      <c r="I638" s="43">
        <v>10</v>
      </c>
      <c r="J638" s="200">
        <f>'N CARRILES HCM'!E50</f>
        <v>411.23841207930127</v>
      </c>
      <c r="K638" s="95">
        <f t="shared" si="165"/>
        <v>75415814.552425891</v>
      </c>
      <c r="L638" s="95">
        <f t="shared" si="166"/>
        <v>92927857.02868852</v>
      </c>
      <c r="M638" s="95">
        <f t="shared" si="167"/>
        <v>114561338.33889946</v>
      </c>
    </row>
    <row r="639" spans="1:15" x14ac:dyDescent="0.25">
      <c r="A639" s="43">
        <v>11</v>
      </c>
      <c r="B639" s="200">
        <f>'N CARRILES HCM'!E14</f>
        <v>423.57556444168034</v>
      </c>
      <c r="C639" s="95">
        <f t="shared" si="162"/>
        <v>87082907.409634545</v>
      </c>
      <c r="D639" s="95">
        <f t="shared" si="163"/>
        <v>97894163.673142806</v>
      </c>
      <c r="E639" s="95">
        <f t="shared" si="164"/>
        <v>121728705.09421909</v>
      </c>
      <c r="I639" s="43">
        <v>11</v>
      </c>
      <c r="J639" s="200">
        <f>'N CARRILES HCM'!E51</f>
        <v>423.57556444168034</v>
      </c>
      <c r="K639" s="95">
        <f t="shared" si="165"/>
        <v>77678288.988998681</v>
      </c>
      <c r="L639" s="95">
        <f t="shared" si="166"/>
        <v>95715692.73954919</v>
      </c>
      <c r="M639" s="95">
        <f t="shared" si="167"/>
        <v>117998178.48906648</v>
      </c>
    </row>
    <row r="640" spans="1:15" x14ac:dyDescent="0.25">
      <c r="A640" s="43">
        <v>12</v>
      </c>
      <c r="B640" s="200">
        <f>'N CARRILES HCM'!E15</f>
        <v>436.28283137493065</v>
      </c>
      <c r="C640" s="95">
        <f t="shared" si="162"/>
        <v>89695394.631923556</v>
      </c>
      <c r="D640" s="95">
        <f t="shared" si="163"/>
        <v>100830988.58333707</v>
      </c>
      <c r="E640" s="95">
        <f t="shared" si="164"/>
        <v>125380566.24704562</v>
      </c>
      <c r="I640" s="43">
        <v>12</v>
      </c>
      <c r="J640" s="200">
        <f>'N CARRILES HCM'!E52</f>
        <v>436.28283137493065</v>
      </c>
      <c r="K640" s="95">
        <f t="shared" si="165"/>
        <v>80008637.658668637</v>
      </c>
      <c r="L640" s="95">
        <f t="shared" si="166"/>
        <v>98587163.521735638</v>
      </c>
      <c r="M640" s="95">
        <f t="shared" si="167"/>
        <v>121538123.84373844</v>
      </c>
    </row>
    <row r="641" spans="1:13" x14ac:dyDescent="0.25">
      <c r="A641" s="43">
        <v>13</v>
      </c>
      <c r="B641" s="200">
        <f>'N CARRILES HCM'!E16</f>
        <v>449.37131631617854</v>
      </c>
      <c r="C641" s="95">
        <f t="shared" si="162"/>
        <v>92386256.470881268</v>
      </c>
      <c r="D641" s="95">
        <f t="shared" si="163"/>
        <v>103855918.24083717</v>
      </c>
      <c r="E641" s="95">
        <f t="shared" si="164"/>
        <v>129141983.23445697</v>
      </c>
      <c r="I641" s="43">
        <v>13</v>
      </c>
      <c r="J641" s="200">
        <f>'N CARRILES HCM'!E53</f>
        <v>449.37131631617854</v>
      </c>
      <c r="K641" s="95">
        <f t="shared" si="165"/>
        <v>82408896.788428679</v>
      </c>
      <c r="L641" s="95">
        <f t="shared" si="166"/>
        <v>101544778.4273877</v>
      </c>
      <c r="M641" s="95">
        <f t="shared" si="167"/>
        <v>125184267.55905056</v>
      </c>
    </row>
    <row r="642" spans="1:13" x14ac:dyDescent="0.25">
      <c r="A642" s="43">
        <v>14</v>
      </c>
      <c r="B642" s="200">
        <f>'N CARRILES HCM'!E17</f>
        <v>462.85245580566396</v>
      </c>
      <c r="C642" s="95">
        <f t="shared" si="162"/>
        <v>99982200.185415715</v>
      </c>
      <c r="D642" s="95">
        <f t="shared" si="163"/>
        <v>106971595.7880623</v>
      </c>
      <c r="E642" s="95">
        <f t="shared" si="164"/>
        <v>133016242.73149072</v>
      </c>
      <c r="I642" s="43">
        <v>14</v>
      </c>
      <c r="J642" s="200">
        <f>'N CARRILES HCM'!E54</f>
        <v>462.85245580566396</v>
      </c>
      <c r="K642" s="95">
        <f t="shared" si="165"/>
        <v>84881163.692081541</v>
      </c>
      <c r="L642" s="95">
        <f t="shared" si="166"/>
        <v>104591121.78020935</v>
      </c>
      <c r="M642" s="95">
        <f t="shared" si="167"/>
        <v>128939795.58582212</v>
      </c>
    </row>
    <row r="643" spans="1:13" x14ac:dyDescent="0.25">
      <c r="A643" s="43">
        <v>15</v>
      </c>
      <c r="B643" s="200">
        <f>'N CARRILES HCM'!E18</f>
        <v>476.73802947983393</v>
      </c>
      <c r="C643" s="95">
        <f t="shared" si="162"/>
        <v>102981666.19097818</v>
      </c>
      <c r="D643" s="95">
        <f t="shared" si="163"/>
        <v>110180743.66170418</v>
      </c>
      <c r="E643" s="95">
        <f t="shared" si="164"/>
        <v>137006730.01343545</v>
      </c>
      <c r="I643" s="43">
        <v>15</v>
      </c>
      <c r="J643" s="200">
        <f>'N CARRILES HCM'!E55</f>
        <v>476.73802947983393</v>
      </c>
      <c r="K643" s="95">
        <f t="shared" si="165"/>
        <v>87427598.602844015</v>
      </c>
      <c r="L643" s="95">
        <f t="shared" si="166"/>
        <v>107728855.43361564</v>
      </c>
      <c r="M643" s="95">
        <f t="shared" si="167"/>
        <v>132807989.45339678</v>
      </c>
    </row>
    <row r="644" spans="1:13" x14ac:dyDescent="0.25">
      <c r="A644" s="43">
        <v>16</v>
      </c>
      <c r="B644" s="200">
        <f>'N CARRILES HCM'!E19</f>
        <v>491.04017036422886</v>
      </c>
      <c r="C644" s="95">
        <f t="shared" si="162"/>
        <v>106071116.17670752</v>
      </c>
      <c r="D644" s="95">
        <f t="shared" si="163"/>
        <v>113486165.97155528</v>
      </c>
      <c r="E644" s="95">
        <f t="shared" si="164"/>
        <v>141116931.91383848</v>
      </c>
      <c r="I644" s="43">
        <v>16</v>
      </c>
      <c r="J644" s="200">
        <f>'N CARRILES HCM'!E56</f>
        <v>491.04017036422886</v>
      </c>
      <c r="K644" s="95">
        <f t="shared" si="165"/>
        <v>90050426.560929313</v>
      </c>
      <c r="L644" s="95">
        <f t="shared" si="166"/>
        <v>110960721.09662408</v>
      </c>
      <c r="M644" s="95">
        <f t="shared" si="167"/>
        <v>136792229.13699865</v>
      </c>
    </row>
    <row r="645" spans="1:13" x14ac:dyDescent="0.25">
      <c r="A645" s="43">
        <v>17</v>
      </c>
      <c r="B645" s="200">
        <f>'N CARRILES HCM'!E20</f>
        <v>505.77137547515571</v>
      </c>
      <c r="C645" s="95">
        <f t="shared" si="162"/>
        <v>109253249.66200875</v>
      </c>
      <c r="D645" s="95">
        <f t="shared" si="163"/>
        <v>116890750.95070195</v>
      </c>
      <c r="E645" s="95">
        <f t="shared" si="164"/>
        <v>145350439.87125361</v>
      </c>
      <c r="I645" s="43">
        <v>17</v>
      </c>
      <c r="J645" s="200">
        <f>'N CARRILES HCM'!E57</f>
        <v>505.77137547515571</v>
      </c>
      <c r="K645" s="95">
        <f t="shared" si="165"/>
        <v>92751939.357757196</v>
      </c>
      <c r="L645" s="95">
        <f t="shared" si="166"/>
        <v>114289542.72952281</v>
      </c>
      <c r="M645" s="95">
        <f t="shared" si="167"/>
        <v>140895996.01110864</v>
      </c>
    </row>
    <row r="646" spans="1:13" x14ac:dyDescent="0.25">
      <c r="A646" s="43">
        <v>18</v>
      </c>
      <c r="B646" s="200">
        <f>'N CARRILES HCM'!E21</f>
        <v>520.94451673941035</v>
      </c>
      <c r="C646" s="95">
        <f t="shared" si="162"/>
        <v>112530847.151869</v>
      </c>
      <c r="D646" s="95">
        <f t="shared" si="163"/>
        <v>120397473.47922298</v>
      </c>
      <c r="E646" s="95">
        <f t="shared" si="164"/>
        <v>149710953.06739122</v>
      </c>
      <c r="I646" s="43">
        <v>18</v>
      </c>
      <c r="J646" s="200">
        <f>'N CARRILES HCM'!E58</f>
        <v>520.94451673941035</v>
      </c>
      <c r="K646" s="95">
        <f t="shared" si="165"/>
        <v>95534497.538489893</v>
      </c>
      <c r="L646" s="95">
        <f t="shared" si="166"/>
        <v>117718229.01140848</v>
      </c>
      <c r="M646" s="95">
        <f t="shared" si="167"/>
        <v>145122875.89144185</v>
      </c>
    </row>
    <row r="647" spans="1:13" x14ac:dyDescent="0.25">
      <c r="A647" s="43">
        <v>19</v>
      </c>
      <c r="B647" s="200">
        <f>'N CARRILES HCM'!E22</f>
        <v>536.57285224159273</v>
      </c>
      <c r="C647" s="95">
        <f t="shared" si="162"/>
        <v>115906772.5664251</v>
      </c>
      <c r="D647" s="95">
        <f t="shared" si="163"/>
        <v>124009397.6835997</v>
      </c>
      <c r="E647" s="95">
        <f t="shared" si="164"/>
        <v>154202281.65941298</v>
      </c>
      <c r="I647" s="43">
        <v>19</v>
      </c>
      <c r="J647" s="200">
        <f>'N CARRILES HCM'!E59</f>
        <v>536.57285224159273</v>
      </c>
      <c r="K647" s="95">
        <f t="shared" si="165"/>
        <v>98400532.464644611</v>
      </c>
      <c r="L647" s="95">
        <f t="shared" si="166"/>
        <v>121249775.88175075</v>
      </c>
      <c r="M647" s="95">
        <f t="shared" si="167"/>
        <v>149476562.16818514</v>
      </c>
    </row>
    <row r="648" spans="1:13" x14ac:dyDescent="0.25">
      <c r="A648" s="43">
        <v>20</v>
      </c>
      <c r="B648" s="200">
        <f>'N CARRILES HCM'!E23</f>
        <v>552.67003780884045</v>
      </c>
      <c r="C648" s="95">
        <f t="shared" si="162"/>
        <v>119383975.74341783</v>
      </c>
      <c r="D648" s="95">
        <f t="shared" si="163"/>
        <v>127729679.61410765</v>
      </c>
      <c r="E648" s="95">
        <f t="shared" si="164"/>
        <v>158828350.10919535</v>
      </c>
      <c r="I648" s="43">
        <v>20</v>
      </c>
      <c r="J648" s="200">
        <f>'N CARRILES HCM'!E60</f>
        <v>552.67003780884045</v>
      </c>
      <c r="K648" s="95">
        <f t="shared" si="165"/>
        <v>101352548.43858393</v>
      </c>
      <c r="L648" s="95">
        <f t="shared" si="166"/>
        <v>124887269.15820324</v>
      </c>
      <c r="M648" s="95">
        <f t="shared" si="167"/>
        <v>153960859.03323069</v>
      </c>
    </row>
    <row r="649" spans="1:13" x14ac:dyDescent="0.25">
      <c r="A649" s="43">
        <v>21</v>
      </c>
      <c r="B649" s="200">
        <f>'N CARRILES HCM'!E24</f>
        <v>569.25013894310564</v>
      </c>
      <c r="C649" s="95">
        <f t="shared" si="162"/>
        <v>122965495.01572038</v>
      </c>
      <c r="D649" s="95">
        <f t="shared" si="163"/>
        <v>131561570.0025309</v>
      </c>
      <c r="E649" s="95">
        <f t="shared" si="164"/>
        <v>163593200.61247119</v>
      </c>
      <c r="I649" s="43">
        <v>21</v>
      </c>
      <c r="J649" s="200">
        <f>'N CARRILES HCM'!E61</f>
        <v>569.25013894310564</v>
      </c>
      <c r="K649" s="95">
        <f t="shared" si="165"/>
        <v>104393124.89174144</v>
      </c>
      <c r="L649" s="95">
        <f t="shared" si="166"/>
        <v>128633887.23294936</v>
      </c>
      <c r="M649" s="95">
        <f t="shared" si="167"/>
        <v>158579684.80422759</v>
      </c>
    </row>
    <row r="650" spans="1:13" x14ac:dyDescent="0.25">
      <c r="A650" s="43">
        <v>22</v>
      </c>
      <c r="B650" s="200">
        <f>'N CARRILES HCM'!E25</f>
        <v>586.32764311139886</v>
      </c>
      <c r="C650" s="95">
        <f t="shared" si="162"/>
        <v>126654459.86619198</v>
      </c>
      <c r="D650" s="95">
        <f t="shared" si="163"/>
        <v>135508417.10260683</v>
      </c>
      <c r="E650" s="95">
        <f t="shared" si="164"/>
        <v>168500996.63084537</v>
      </c>
      <c r="I650" s="43">
        <v>22</v>
      </c>
      <c r="J650" s="200">
        <f>'N CARRILES HCM'!E62</f>
        <v>586.32764311139886</v>
      </c>
      <c r="K650" s="95">
        <f t="shared" si="165"/>
        <v>107524918.63849369</v>
      </c>
      <c r="L650" s="95">
        <f t="shared" si="166"/>
        <v>132492903.84993786</v>
      </c>
      <c r="M650" s="95">
        <f t="shared" si="167"/>
        <v>163337075.34835446</v>
      </c>
    </row>
    <row r="651" spans="1:13" x14ac:dyDescent="0.25">
      <c r="A651" s="43">
        <v>23</v>
      </c>
      <c r="B651" s="200">
        <f>'N CARRILES HCM'!E26</f>
        <v>603.91747240474081</v>
      </c>
      <c r="C651" s="95">
        <f t="shared" si="162"/>
        <v>130454093.66217773</v>
      </c>
      <c r="D651" s="95">
        <f t="shared" si="163"/>
        <v>139573669.61568502</v>
      </c>
      <c r="E651" s="95">
        <f t="shared" si="164"/>
        <v>173556026.52977073</v>
      </c>
      <c r="I651" s="43">
        <v>23</v>
      </c>
      <c r="J651" s="200">
        <f>'N CARRILES HCM'!E63</f>
        <v>603.91747240474081</v>
      </c>
      <c r="K651" s="95">
        <f t="shared" si="165"/>
        <v>110750666.1976485</v>
      </c>
      <c r="L651" s="95">
        <f t="shared" si="166"/>
        <v>136467690.96543598</v>
      </c>
      <c r="M651" s="95">
        <f t="shared" si="167"/>
        <v>168237187.60880506</v>
      </c>
    </row>
    <row r="652" spans="1:13" x14ac:dyDescent="0.25">
      <c r="A652" s="43">
        <v>24</v>
      </c>
      <c r="B652" s="200">
        <f>'N CARRILES HCM'!E27</f>
        <v>622.03499657688292</v>
      </c>
      <c r="C652" s="95">
        <f t="shared" si="162"/>
        <v>134367716.47204304</v>
      </c>
      <c r="D652" s="95">
        <f t="shared" si="163"/>
        <v>143760879.70415556</v>
      </c>
      <c r="E652" s="95">
        <f t="shared" si="164"/>
        <v>178762707.32566381</v>
      </c>
      <c r="I652" s="43">
        <v>24</v>
      </c>
      <c r="J652" s="200">
        <f>'N CARRILES HCM'!E64</f>
        <v>622.03499657688292</v>
      </c>
      <c r="K652" s="95">
        <f t="shared" si="165"/>
        <v>114073186.18357795</v>
      </c>
      <c r="L652" s="95">
        <f t="shared" si="166"/>
        <v>140561721.69439903</v>
      </c>
      <c r="M652" s="95">
        <f t="shared" si="167"/>
        <v>173284303.23706919</v>
      </c>
    </row>
    <row r="653" spans="1:13" x14ac:dyDescent="0.25">
      <c r="A653" s="43">
        <v>25</v>
      </c>
      <c r="B653" s="200">
        <f>'N CARRILES HCM'!E28</f>
        <v>640.69604647418942</v>
      </c>
      <c r="C653" s="95">
        <f t="shared" si="162"/>
        <v>138398747.96620435</v>
      </c>
      <c r="D653" s="95">
        <f t="shared" si="163"/>
        <v>148073706.09528023</v>
      </c>
      <c r="E653" s="95">
        <f t="shared" si="164"/>
        <v>184125588.5454337</v>
      </c>
      <c r="I653" s="43">
        <v>25</v>
      </c>
      <c r="J653" s="200">
        <f>'N CARRILES HCM'!E65</f>
        <v>640.69604647418942</v>
      </c>
      <c r="K653" s="95">
        <f t="shared" si="165"/>
        <v>117495381.76908529</v>
      </c>
      <c r="L653" s="95">
        <f t="shared" si="166"/>
        <v>144778573.345231</v>
      </c>
      <c r="M653" s="95">
        <f t="shared" si="167"/>
        <v>178482832.33418125</v>
      </c>
    </row>
    <row r="654" spans="1:13" x14ac:dyDescent="0.25">
      <c r="A654" s="43">
        <v>26</v>
      </c>
      <c r="B654" s="200">
        <f>'N CARRILES HCM'!E29</f>
        <v>659.9169278684152</v>
      </c>
      <c r="C654" s="95">
        <f t="shared" si="162"/>
        <v>142550710.4051905</v>
      </c>
      <c r="D654" s="95">
        <f t="shared" si="163"/>
        <v>152515917.27813864</v>
      </c>
      <c r="E654" s="95">
        <f t="shared" si="164"/>
        <v>189649356.20179677</v>
      </c>
      <c r="I654" s="43">
        <v>26</v>
      </c>
      <c r="J654" s="200">
        <f>'N CARRILES HCM'!E66</f>
        <v>659.9169278684152</v>
      </c>
      <c r="K654" s="95">
        <f t="shared" si="165"/>
        <v>121020243.22215787</v>
      </c>
      <c r="L654" s="95">
        <f t="shared" si="166"/>
        <v>149121930.54558796</v>
      </c>
      <c r="M654" s="95">
        <f t="shared" si="167"/>
        <v>183837317.30420673</v>
      </c>
    </row>
    <row r="655" spans="1:13" x14ac:dyDescent="0.25">
      <c r="A655" s="43">
        <v>27</v>
      </c>
      <c r="B655" s="200">
        <f>'N CARRILES HCM'!E30</f>
        <v>679.71443570446763</v>
      </c>
      <c r="C655" s="95">
        <f t="shared" si="162"/>
        <v>146827231.71734622</v>
      </c>
      <c r="D655" s="95">
        <f t="shared" si="163"/>
        <v>157091394.79648283</v>
      </c>
      <c r="E655" s="95">
        <f t="shared" si="164"/>
        <v>195338836.88785064</v>
      </c>
      <c r="I655" s="43">
        <v>27</v>
      </c>
      <c r="J655" s="200">
        <f>'N CARRILES HCM'!E67</f>
        <v>679.71443570446763</v>
      </c>
      <c r="K655" s="95">
        <f t="shared" si="165"/>
        <v>124650850.5188226</v>
      </c>
      <c r="L655" s="95">
        <f t="shared" si="166"/>
        <v>153595588.46195561</v>
      </c>
      <c r="M655" s="95">
        <f t="shared" si="167"/>
        <v>189352436.82333294</v>
      </c>
    </row>
    <row r="656" spans="1:13" x14ac:dyDescent="0.25">
      <c r="A656" s="43">
        <v>28</v>
      </c>
      <c r="B656" s="200">
        <f>'N CARRILES HCM'!E31</f>
        <v>700.10586877560161</v>
      </c>
      <c r="C656" s="95">
        <f t="shared" si="162"/>
        <v>151232048.66886657</v>
      </c>
      <c r="D656" s="95">
        <f t="shared" si="163"/>
        <v>161804136.64037728</v>
      </c>
      <c r="E656" s="95">
        <f t="shared" si="164"/>
        <v>201199001.99448618</v>
      </c>
      <c r="I656" s="43">
        <v>28</v>
      </c>
      <c r="J656" s="200">
        <f>'N CARRILES HCM'!E68</f>
        <v>700.10586877560161</v>
      </c>
      <c r="K656" s="95">
        <f t="shared" si="165"/>
        <v>128390376.03438725</v>
      </c>
      <c r="L656" s="95">
        <f t="shared" si="166"/>
        <v>158203456.11581424</v>
      </c>
      <c r="M656" s="95">
        <f t="shared" si="167"/>
        <v>195033009.9280329</v>
      </c>
    </row>
    <row r="657" spans="1:14" x14ac:dyDescent="0.25">
      <c r="A657" s="43">
        <v>29</v>
      </c>
      <c r="B657" s="200">
        <f>'N CARRILES HCM'!E32</f>
        <v>721.10904483886964</v>
      </c>
      <c r="C657" s="95">
        <f t="shared" si="162"/>
        <v>155769010.1289326</v>
      </c>
      <c r="D657" s="95">
        <f t="shared" si="163"/>
        <v>166658260.73958859</v>
      </c>
      <c r="E657" s="95">
        <f t="shared" si="164"/>
        <v>207234972.05432072</v>
      </c>
      <c r="I657" s="43">
        <v>29</v>
      </c>
      <c r="J657" s="200">
        <f>'N CARRILES HCM'!E69</f>
        <v>721.10904483886964</v>
      </c>
      <c r="K657" s="95">
        <f t="shared" si="165"/>
        <v>132242087.31541887</v>
      </c>
      <c r="L657" s="95">
        <f t="shared" si="166"/>
        <v>162949559.79928869</v>
      </c>
      <c r="M657" s="95">
        <f t="shared" si="167"/>
        <v>200884000.22587389</v>
      </c>
    </row>
    <row r="658" spans="1:14" x14ac:dyDescent="0.25">
      <c r="A658" s="43">
        <v>30</v>
      </c>
      <c r="B658" s="200">
        <f>'N CARRILES HCM'!E33</f>
        <v>742.74231618403564</v>
      </c>
      <c r="C658" s="95">
        <f t="shared" si="162"/>
        <v>160442080.43280053</v>
      </c>
      <c r="D658" s="95">
        <f t="shared" si="163"/>
        <v>171658008.56177625</v>
      </c>
      <c r="E658" s="95">
        <f t="shared" si="164"/>
        <v>213452021.21595031</v>
      </c>
      <c r="I658" s="43">
        <v>30</v>
      </c>
      <c r="J658" s="200">
        <f>'N CARRILES HCM'!E70</f>
        <v>742.74231618403564</v>
      </c>
      <c r="K658" s="95">
        <f t="shared" si="165"/>
        <v>136209349.93488145</v>
      </c>
      <c r="L658" s="95">
        <f t="shared" si="166"/>
        <v>167838046.59326729</v>
      </c>
      <c r="M658" s="95">
        <f t="shared" si="167"/>
        <v>206910520.23265007</v>
      </c>
    </row>
    <row r="659" spans="1:14" x14ac:dyDescent="0.25">
      <c r="A659" s="43">
        <v>31</v>
      </c>
      <c r="B659" s="200">
        <f>'N CARRILES HCM'!E34</f>
        <v>765.02458566955693</v>
      </c>
      <c r="C659" s="95">
        <f t="shared" si="162"/>
        <v>165255342.84578457</v>
      </c>
      <c r="D659" s="95">
        <f t="shared" si="163"/>
        <v>176807748.81862956</v>
      </c>
      <c r="E659" s="95">
        <f t="shared" si="164"/>
        <v>219855581.85242888</v>
      </c>
      <c r="I659" s="43">
        <v>31</v>
      </c>
      <c r="J659" s="200">
        <f>'N CARRILES HCM'!E71</f>
        <v>765.02458566955693</v>
      </c>
      <c r="K659" s="95">
        <f t="shared" si="165"/>
        <v>140295630.43292791</v>
      </c>
      <c r="L659" s="95">
        <f t="shared" si="166"/>
        <v>172873187.99106538</v>
      </c>
      <c r="M659" s="95">
        <f t="shared" si="167"/>
        <v>213117835.83962962</v>
      </c>
    </row>
    <row r="660" spans="1:14" x14ac:dyDescent="0.25">
      <c r="A660" s="43">
        <v>32</v>
      </c>
      <c r="B660" s="200">
        <f>'N CARRILES HCM'!E35</f>
        <v>787.97532323964344</v>
      </c>
      <c r="C660" s="95">
        <f t="shared" si="162"/>
        <v>170213003.13115808</v>
      </c>
      <c r="D660" s="95">
        <f t="shared" si="163"/>
        <v>182111981.28318843</v>
      </c>
      <c r="E660" s="95">
        <f t="shared" si="164"/>
        <v>226451249.3080017</v>
      </c>
      <c r="I660" s="43">
        <v>32</v>
      </c>
      <c r="J660" s="200">
        <f>'N CARRILES HCM'!E72</f>
        <v>787.97532323964344</v>
      </c>
      <c r="K660" s="95">
        <f t="shared" si="165"/>
        <v>144504499.34591573</v>
      </c>
      <c r="L660" s="95">
        <f t="shared" si="166"/>
        <v>178059383.6307973</v>
      </c>
      <c r="M660" s="95">
        <f t="shared" si="167"/>
        <v>219511370.9148185</v>
      </c>
    </row>
    <row r="661" spans="1:14" x14ac:dyDescent="0.25">
      <c r="A661" s="239" t="s">
        <v>267</v>
      </c>
      <c r="B661" s="239"/>
      <c r="C661" s="239"/>
      <c r="D661" s="239"/>
      <c r="E661" s="239"/>
      <c r="F661" s="239"/>
      <c r="G661" s="19"/>
      <c r="J661" t="s">
        <v>270</v>
      </c>
    </row>
    <row r="662" spans="1:14" x14ac:dyDescent="0.25">
      <c r="A662" t="s">
        <v>243</v>
      </c>
      <c r="F662" s="239" t="s">
        <v>247</v>
      </c>
      <c r="G662" s="239">
        <f>$G$131</f>
        <v>70</v>
      </c>
      <c r="J662" s="569" t="s">
        <v>246</v>
      </c>
      <c r="K662" s="569"/>
      <c r="L662" s="569"/>
      <c r="M662" s="574" t="s">
        <v>250</v>
      </c>
      <c r="N662" s="574"/>
    </row>
    <row r="663" spans="1:14" x14ac:dyDescent="0.25">
      <c r="C663" s="569" t="s">
        <v>246</v>
      </c>
      <c r="D663" s="569"/>
      <c r="E663" s="569"/>
      <c r="I663" s="43" t="s">
        <v>18</v>
      </c>
      <c r="J663" s="270" t="s">
        <v>126</v>
      </c>
      <c r="K663" s="270" t="s">
        <v>90</v>
      </c>
      <c r="L663" s="270" t="s">
        <v>127</v>
      </c>
      <c r="M663" s="574"/>
      <c r="N663" s="574"/>
    </row>
    <row r="664" spans="1:14" x14ac:dyDescent="0.25">
      <c r="A664" s="43" t="s">
        <v>18</v>
      </c>
      <c r="B664" s="43" t="s">
        <v>269</v>
      </c>
      <c r="C664" s="298" t="s">
        <v>233</v>
      </c>
      <c r="D664" s="298" t="s">
        <v>234</v>
      </c>
      <c r="E664" s="298" t="s">
        <v>235</v>
      </c>
      <c r="I664" s="43">
        <v>0</v>
      </c>
      <c r="J664" s="95">
        <f>IF($B$20="P",C628,IF($B$20="L",D628,IF($B$20="M",E628)))</f>
        <v>62910545.140799992</v>
      </c>
      <c r="K664" s="95">
        <f>IF($B$57="P",K628,IF($B$57="L",L628,IF($B$57="M",M628)))</f>
        <v>56122509.441599995</v>
      </c>
      <c r="L664" s="95">
        <f>IF($B$94="P",C665,IF($B$94="L",D665,IF($B$94="M",E665)))</f>
        <v>120495209.59349999</v>
      </c>
      <c r="M664" s="299">
        <f>L664-K664-J664</f>
        <v>1462155.0111000016</v>
      </c>
      <c r="N664" s="70"/>
    </row>
    <row r="665" spans="1:14" x14ac:dyDescent="0.25">
      <c r="A665" s="43">
        <v>0</v>
      </c>
      <c r="B665" s="200">
        <f>'N CARRILES HCM'!E77</f>
        <v>612</v>
      </c>
      <c r="C665" s="95">
        <f>B665*365*$G$418*L591</f>
        <v>120495209.59349999</v>
      </c>
      <c r="D665" s="95">
        <f>B665*365*$G$418*M591</f>
        <v>138294105.87887999</v>
      </c>
      <c r="E665" s="95">
        <f>B665*365*$G$418*N591</f>
        <v>170488789.4808</v>
      </c>
      <c r="I665" s="43">
        <v>1</v>
      </c>
      <c r="J665" s="95">
        <f t="shared" ref="J665:J693" si="168">IF($B$20="P",C629,IF($B$20="L",D629,IF($B$20="M",E629)))</f>
        <v>64797861.495024003</v>
      </c>
      <c r="K665" s="95">
        <f t="shared" ref="K665:K694" si="169">IF($B$57="P",K629,IF($B$57="L",L629,IF($B$57="M",M629)))</f>
        <v>57799942.156303205</v>
      </c>
      <c r="L665" s="95">
        <f t="shared" ref="L665:L696" si="170">IF($B$94="P",C666,IF($B$94="L",D666,IF($B$94="M",E666)))</f>
        <v>124110065.88130499</v>
      </c>
      <c r="M665" s="300">
        <f t="shared" ref="M665:M694" si="171">L665-K665-J665</f>
        <v>1512262.2299777865</v>
      </c>
      <c r="N665" s="70"/>
    </row>
    <row r="666" spans="1:14" x14ac:dyDescent="0.25">
      <c r="A666" s="43">
        <v>1</v>
      </c>
      <c r="B666" s="200">
        <f>'N CARRILES HCM'!E78</f>
        <v>630.36</v>
      </c>
      <c r="C666" s="95">
        <f t="shared" ref="C666:C695" si="172">B666*365*$G$418*L592</f>
        <v>124110065.88130499</v>
      </c>
      <c r="D666" s="95">
        <f t="shared" ref="D666:D695" si="173">B666*365*$G$418*M592</f>
        <v>142442929.05524641</v>
      </c>
      <c r="E666" s="95">
        <f t="shared" ref="E666:E695" si="174">B666*365*$G$418*N592</f>
        <v>175603453.16522402</v>
      </c>
      <c r="I666" s="43">
        <v>2</v>
      </c>
      <c r="J666" s="95">
        <f t="shared" si="168"/>
        <v>66741797.339874722</v>
      </c>
      <c r="K666" s="95">
        <f t="shared" si="169"/>
        <v>59533940.420992292</v>
      </c>
      <c r="L666" s="95">
        <f t="shared" si="170"/>
        <v>127833367.85774414</v>
      </c>
      <c r="M666" s="300">
        <f t="shared" si="171"/>
        <v>1557630.0968771204</v>
      </c>
      <c r="N666" s="70"/>
    </row>
    <row r="667" spans="1:14" x14ac:dyDescent="0.25">
      <c r="A667" s="43">
        <v>2</v>
      </c>
      <c r="B667" s="200">
        <f>'N CARRILES HCM'!E79</f>
        <v>649.27080000000001</v>
      </c>
      <c r="C667" s="95">
        <f t="shared" si="172"/>
        <v>127833367.85774414</v>
      </c>
      <c r="D667" s="95">
        <f t="shared" si="173"/>
        <v>146716216.92690378</v>
      </c>
      <c r="E667" s="95">
        <f t="shared" si="174"/>
        <v>180871556.76018071</v>
      </c>
      <c r="I667" s="43">
        <v>3</v>
      </c>
      <c r="J667" s="95">
        <f t="shared" si="168"/>
        <v>68744051.26007095</v>
      </c>
      <c r="K667" s="95">
        <f t="shared" si="169"/>
        <v>61319958.633622073</v>
      </c>
      <c r="L667" s="95">
        <f t="shared" si="170"/>
        <v>131668368.89347647</v>
      </c>
      <c r="M667" s="300">
        <f t="shared" si="171"/>
        <v>1604358.9997834563</v>
      </c>
      <c r="N667" s="70"/>
    </row>
    <row r="668" spans="1:14" x14ac:dyDescent="0.25">
      <c r="A668" s="43">
        <v>3</v>
      </c>
      <c r="B668" s="200">
        <f>'N CARRILES HCM'!E80</f>
        <v>668.74892399999999</v>
      </c>
      <c r="C668" s="95">
        <f t="shared" si="172"/>
        <v>131668368.89347647</v>
      </c>
      <c r="D668" s="95">
        <f t="shared" si="173"/>
        <v>151117703.43471092</v>
      </c>
      <c r="E668" s="95">
        <f t="shared" si="174"/>
        <v>186297703.46298614</v>
      </c>
      <c r="I668" s="43">
        <v>4</v>
      </c>
      <c r="J668" s="95">
        <f t="shared" si="168"/>
        <v>70806372.797873095</v>
      </c>
      <c r="K668" s="95">
        <f t="shared" si="169"/>
        <v>63159557.392630726</v>
      </c>
      <c r="L668" s="95">
        <f t="shared" si="170"/>
        <v>135618419.96028075</v>
      </c>
      <c r="M668" s="300">
        <f t="shared" si="171"/>
        <v>1652489.7697769254</v>
      </c>
      <c r="N668" s="70"/>
    </row>
    <row r="669" spans="1:14" x14ac:dyDescent="0.25">
      <c r="A669" s="43">
        <v>4</v>
      </c>
      <c r="B669" s="200">
        <f>'N CARRILES HCM'!E81</f>
        <v>688.81139171999996</v>
      </c>
      <c r="C669" s="95">
        <f t="shared" si="172"/>
        <v>135618419.96028075</v>
      </c>
      <c r="D669" s="95">
        <f t="shared" si="173"/>
        <v>155651234.53775221</v>
      </c>
      <c r="E669" s="95">
        <f t="shared" si="174"/>
        <v>191886634.5668757</v>
      </c>
      <c r="I669" s="43">
        <v>5</v>
      </c>
      <c r="J669" s="95">
        <f t="shared" si="168"/>
        <v>72930563.981809273</v>
      </c>
      <c r="K669" s="95">
        <f t="shared" si="169"/>
        <v>65054344.114409648</v>
      </c>
      <c r="L669" s="95">
        <f t="shared" si="170"/>
        <v>139686972.55908918</v>
      </c>
      <c r="M669" s="300">
        <f t="shared" si="171"/>
        <v>1702064.4628702551</v>
      </c>
      <c r="N669" s="70"/>
    </row>
    <row r="670" spans="1:14" x14ac:dyDescent="0.25">
      <c r="A670" s="43">
        <v>5</v>
      </c>
      <c r="B670" s="200">
        <f>'N CARRILES HCM'!E82</f>
        <v>709.47573347159994</v>
      </c>
      <c r="C670" s="95">
        <f t="shared" si="172"/>
        <v>139686972.55908918</v>
      </c>
      <c r="D670" s="95">
        <f t="shared" si="173"/>
        <v>160320771.57388479</v>
      </c>
      <c r="E670" s="95">
        <f t="shared" si="174"/>
        <v>197643233.60388198</v>
      </c>
      <c r="I670" s="43">
        <v>6</v>
      </c>
      <c r="J670" s="95">
        <f t="shared" si="168"/>
        <v>75118480.90126355</v>
      </c>
      <c r="K670" s="95">
        <f t="shared" si="169"/>
        <v>67005974.437841929</v>
      </c>
      <c r="L670" s="95">
        <f t="shared" si="170"/>
        <v>143877581.73586184</v>
      </c>
      <c r="M670" s="300">
        <f t="shared" si="171"/>
        <v>1753126.3967563659</v>
      </c>
      <c r="N670" s="70"/>
    </row>
    <row r="671" spans="1:14" x14ac:dyDescent="0.25">
      <c r="A671" s="43">
        <v>6</v>
      </c>
      <c r="B671" s="200">
        <f>'N CARRILES HCM'!E83</f>
        <v>730.7600054757479</v>
      </c>
      <c r="C671" s="95">
        <f t="shared" si="172"/>
        <v>143877581.73586184</v>
      </c>
      <c r="D671" s="95">
        <f t="shared" si="173"/>
        <v>165130394.72110134</v>
      </c>
      <c r="E671" s="95">
        <f t="shared" si="174"/>
        <v>203572530.61199844</v>
      </c>
      <c r="I671" s="43">
        <v>7</v>
      </c>
      <c r="J671" s="95">
        <f t="shared" si="168"/>
        <v>77372035.328301474</v>
      </c>
      <c r="K671" s="95">
        <f t="shared" si="169"/>
        <v>69016153.670977205</v>
      </c>
      <c r="L671" s="95">
        <f t="shared" si="170"/>
        <v>148193909.18793774</v>
      </c>
      <c r="M671" s="300">
        <f t="shared" si="171"/>
        <v>1805720.188659057</v>
      </c>
      <c r="N671" s="70"/>
    </row>
    <row r="672" spans="1:14" x14ac:dyDescent="0.25">
      <c r="A672" s="43">
        <v>7</v>
      </c>
      <c r="B672" s="200">
        <f>'N CARRILES HCM'!E84</f>
        <v>752.68280564002043</v>
      </c>
      <c r="C672" s="95">
        <f t="shared" si="172"/>
        <v>148193909.18793774</v>
      </c>
      <c r="D672" s="95">
        <f t="shared" si="173"/>
        <v>170084306.5627344</v>
      </c>
      <c r="E672" s="95">
        <f t="shared" si="174"/>
        <v>209679706.53035843</v>
      </c>
      <c r="I672" s="43">
        <v>8</v>
      </c>
      <c r="J672" s="95">
        <f t="shared" si="168"/>
        <v>79693196.388150498</v>
      </c>
      <c r="K672" s="95">
        <f t="shared" si="169"/>
        <v>71086638.281106517</v>
      </c>
      <c r="L672" s="95">
        <f t="shared" si="170"/>
        <v>152639726.46357581</v>
      </c>
      <c r="M672" s="300">
        <f t="shared" si="171"/>
        <v>1859891.7943187952</v>
      </c>
      <c r="N672" s="70"/>
    </row>
    <row r="673" spans="1:14" x14ac:dyDescent="0.25">
      <c r="A673" s="43">
        <v>8</v>
      </c>
      <c r="B673" s="200">
        <f>'N CARRILES HCM'!E85</f>
        <v>775.26328980922096</v>
      </c>
      <c r="C673" s="95">
        <f t="shared" si="172"/>
        <v>152639726.46357581</v>
      </c>
      <c r="D673" s="95">
        <f t="shared" si="173"/>
        <v>175186835.75961637</v>
      </c>
      <c r="E673" s="95">
        <f t="shared" si="174"/>
        <v>215970097.72626913</v>
      </c>
      <c r="I673" s="43">
        <v>9</v>
      </c>
      <c r="J673" s="95">
        <f t="shared" si="168"/>
        <v>82083992.279795021</v>
      </c>
      <c r="K673" s="95">
        <f t="shared" si="169"/>
        <v>73219237.429539695</v>
      </c>
      <c r="L673" s="95">
        <f t="shared" si="170"/>
        <v>157218918.25748309</v>
      </c>
      <c r="M673" s="300">
        <f t="shared" si="171"/>
        <v>1915688.5481483787</v>
      </c>
      <c r="N673" s="70"/>
    </row>
    <row r="674" spans="1:14" x14ac:dyDescent="0.25">
      <c r="A674" s="43">
        <v>9</v>
      </c>
      <c r="B674" s="200">
        <f>'N CARRILES HCM'!E86</f>
        <v>798.52118850349757</v>
      </c>
      <c r="C674" s="95">
        <f t="shared" si="172"/>
        <v>157218918.25748309</v>
      </c>
      <c r="D674" s="95">
        <f t="shared" si="173"/>
        <v>180442440.83240488</v>
      </c>
      <c r="E674" s="95">
        <f t="shared" si="174"/>
        <v>222449200.65805718</v>
      </c>
      <c r="I674" s="43">
        <v>10</v>
      </c>
      <c r="J674" s="95">
        <f t="shared" si="168"/>
        <v>84546512.04818888</v>
      </c>
      <c r="K674" s="95">
        <f t="shared" si="169"/>
        <v>75415814.552425891</v>
      </c>
      <c r="L674" s="95">
        <f t="shared" si="170"/>
        <v>161935485.80520758</v>
      </c>
      <c r="M674" s="300">
        <f t="shared" si="171"/>
        <v>1973159.2045928091</v>
      </c>
      <c r="N674" s="70"/>
    </row>
    <row r="675" spans="1:14" x14ac:dyDescent="0.25">
      <c r="A675" s="43">
        <v>10</v>
      </c>
      <c r="B675" s="200">
        <f>'N CARRILES HCM'!E87</f>
        <v>822.47682415860254</v>
      </c>
      <c r="C675" s="95">
        <f t="shared" si="172"/>
        <v>161935485.80520758</v>
      </c>
      <c r="D675" s="95">
        <f t="shared" si="173"/>
        <v>185855714.05737701</v>
      </c>
      <c r="E675" s="95">
        <f t="shared" si="174"/>
        <v>229122676.6777989</v>
      </c>
      <c r="I675" s="43">
        <v>11</v>
      </c>
      <c r="J675" s="95">
        <f t="shared" si="168"/>
        <v>87082907.409634545</v>
      </c>
      <c r="K675" s="95">
        <f t="shared" si="169"/>
        <v>77678288.988998681</v>
      </c>
      <c r="L675" s="95">
        <f t="shared" si="170"/>
        <v>166793550.37936383</v>
      </c>
      <c r="M675" s="300">
        <f t="shared" si="171"/>
        <v>2032353.9807306081</v>
      </c>
      <c r="N675" s="70"/>
    </row>
    <row r="676" spans="1:14" x14ac:dyDescent="0.25">
      <c r="A676" s="43">
        <v>11</v>
      </c>
      <c r="B676" s="200">
        <f>'N CARRILES HCM'!E88</f>
        <v>847.15112888336068</v>
      </c>
      <c r="C676" s="95">
        <f t="shared" si="172"/>
        <v>166793550.37936383</v>
      </c>
      <c r="D676" s="95">
        <f t="shared" si="173"/>
        <v>191431385.47909835</v>
      </c>
      <c r="E676" s="95">
        <f t="shared" si="174"/>
        <v>235996356.9781329</v>
      </c>
      <c r="I676" s="43">
        <v>12</v>
      </c>
      <c r="J676" s="95">
        <f t="shared" si="168"/>
        <v>89695394.631923556</v>
      </c>
      <c r="K676" s="95">
        <f t="shared" si="169"/>
        <v>80008637.658668637</v>
      </c>
      <c r="L676" s="95">
        <f t="shared" si="170"/>
        <v>183642247.2753025</v>
      </c>
      <c r="M676" s="300">
        <f t="shared" si="171"/>
        <v>13938214.984710306</v>
      </c>
      <c r="N676" s="70"/>
    </row>
    <row r="677" spans="1:14" x14ac:dyDescent="0.25">
      <c r="A677" s="43">
        <v>12</v>
      </c>
      <c r="B677" s="200">
        <f>'N CARRILES HCM'!E89</f>
        <v>872.5656627498613</v>
      </c>
      <c r="C677" s="95">
        <f t="shared" si="172"/>
        <v>183642247.2753025</v>
      </c>
      <c r="D677" s="95">
        <f t="shared" si="173"/>
        <v>197174327.04347128</v>
      </c>
      <c r="E677" s="95">
        <f t="shared" si="174"/>
        <v>243076247.68747687</v>
      </c>
      <c r="I677" s="43">
        <v>13</v>
      </c>
      <c r="J677" s="95">
        <f t="shared" si="168"/>
        <v>92386256.470881268</v>
      </c>
      <c r="K677" s="95">
        <f t="shared" si="169"/>
        <v>82408896.788428679</v>
      </c>
      <c r="L677" s="95">
        <f t="shared" si="170"/>
        <v>189151514.69356152</v>
      </c>
      <c r="M677" s="300">
        <f t="shared" si="171"/>
        <v>14356361.434251577</v>
      </c>
      <c r="N677" s="70"/>
    </row>
    <row r="678" spans="1:14" x14ac:dyDescent="0.25">
      <c r="A678" s="43">
        <v>13</v>
      </c>
      <c r="B678" s="200">
        <f>'N CARRILES HCM'!E90</f>
        <v>898.74263263235707</v>
      </c>
      <c r="C678" s="95">
        <f t="shared" si="172"/>
        <v>189151514.69356152</v>
      </c>
      <c r="D678" s="95">
        <f t="shared" si="173"/>
        <v>203089556.8547754</v>
      </c>
      <c r="E678" s="95">
        <f t="shared" si="174"/>
        <v>250368535.11810112</v>
      </c>
      <c r="I678" s="43">
        <v>14</v>
      </c>
      <c r="J678" s="95">
        <f t="shared" si="168"/>
        <v>99982200.185415715</v>
      </c>
      <c r="K678" s="95">
        <f t="shared" si="169"/>
        <v>84881163.692081541</v>
      </c>
      <c r="L678" s="95">
        <f t="shared" si="170"/>
        <v>194826060.13436839</v>
      </c>
      <c r="M678" s="300">
        <f t="shared" si="171"/>
        <v>9962696.256871134</v>
      </c>
      <c r="N678" s="70"/>
    </row>
    <row r="679" spans="1:14" x14ac:dyDescent="0.25">
      <c r="A679" s="43">
        <v>14</v>
      </c>
      <c r="B679" s="200">
        <f>'N CARRILES HCM'!E91</f>
        <v>925.70491161132793</v>
      </c>
      <c r="C679" s="95">
        <f t="shared" si="172"/>
        <v>194826060.13436839</v>
      </c>
      <c r="D679" s="95">
        <f t="shared" si="173"/>
        <v>209182243.5604187</v>
      </c>
      <c r="E679" s="95">
        <f t="shared" si="174"/>
        <v>257879591.17164421</v>
      </c>
      <c r="I679" s="43">
        <v>15</v>
      </c>
      <c r="J679" s="95">
        <f t="shared" si="168"/>
        <v>102981666.19097818</v>
      </c>
      <c r="K679" s="95">
        <f t="shared" si="169"/>
        <v>87427598.602844015</v>
      </c>
      <c r="L679" s="95">
        <f t="shared" si="170"/>
        <v>200670841.93839949</v>
      </c>
      <c r="M679" s="300">
        <f t="shared" si="171"/>
        <v>10261577.144577295</v>
      </c>
      <c r="N679" s="70"/>
    </row>
    <row r="680" spans="1:14" x14ac:dyDescent="0.25">
      <c r="A680" s="43">
        <v>15</v>
      </c>
      <c r="B680" s="200">
        <f>'N CARRILES HCM'!E92</f>
        <v>953.47605895966785</v>
      </c>
      <c r="C680" s="95">
        <f t="shared" si="172"/>
        <v>200670841.93839949</v>
      </c>
      <c r="D680" s="95">
        <f t="shared" si="173"/>
        <v>215457710.86723128</v>
      </c>
      <c r="E680" s="95">
        <f t="shared" si="174"/>
        <v>265615978.90679356</v>
      </c>
      <c r="I680" s="43">
        <v>16</v>
      </c>
      <c r="J680" s="95">
        <f t="shared" si="168"/>
        <v>106071116.17670752</v>
      </c>
      <c r="K680" s="95">
        <f t="shared" si="169"/>
        <v>90050426.560929313</v>
      </c>
      <c r="L680" s="95">
        <f t="shared" si="170"/>
        <v>206690967.19655144</v>
      </c>
      <c r="M680" s="300">
        <f t="shared" si="171"/>
        <v>10569424.458914608</v>
      </c>
      <c r="N680" s="70"/>
    </row>
    <row r="681" spans="1:14" x14ac:dyDescent="0.25">
      <c r="A681" s="43">
        <v>16</v>
      </c>
      <c r="B681" s="200">
        <f>'N CARRILES HCM'!E93</f>
        <v>982.08034072845771</v>
      </c>
      <c r="C681" s="95">
        <f t="shared" si="172"/>
        <v>206690967.19655144</v>
      </c>
      <c r="D681" s="95">
        <f t="shared" si="173"/>
        <v>221921442.19324818</v>
      </c>
      <c r="E681" s="95">
        <f t="shared" si="174"/>
        <v>273584458.27399737</v>
      </c>
      <c r="I681" s="43">
        <v>17</v>
      </c>
      <c r="J681" s="95">
        <f t="shared" si="168"/>
        <v>109253249.66200875</v>
      </c>
      <c r="K681" s="95">
        <f t="shared" si="169"/>
        <v>92751939.357757196</v>
      </c>
      <c r="L681" s="95">
        <f t="shared" si="170"/>
        <v>212891696.21244794</v>
      </c>
      <c r="M681" s="300">
        <f t="shared" si="171"/>
        <v>10886507.192681998</v>
      </c>
      <c r="N681" s="70"/>
    </row>
    <row r="682" spans="1:14" x14ac:dyDescent="0.25">
      <c r="A682" s="43">
        <v>17</v>
      </c>
      <c r="B682" s="200">
        <f>'N CARRILES HCM'!E94</f>
        <v>1011.5427509503114</v>
      </c>
      <c r="C682" s="95">
        <f t="shared" si="172"/>
        <v>212891696.21244794</v>
      </c>
      <c r="D682" s="95">
        <f t="shared" si="173"/>
        <v>228579085.45904559</v>
      </c>
      <c r="E682" s="95">
        <f t="shared" si="174"/>
        <v>281791992.02221721</v>
      </c>
      <c r="I682" s="43">
        <v>18</v>
      </c>
      <c r="J682" s="95">
        <f t="shared" si="168"/>
        <v>112530847.151869</v>
      </c>
      <c r="K682" s="95">
        <f t="shared" si="169"/>
        <v>95534497.538489893</v>
      </c>
      <c r="L682" s="95">
        <f t="shared" si="170"/>
        <v>219278447.0988214</v>
      </c>
      <c r="M682" s="300">
        <f t="shared" si="171"/>
        <v>11213102.40846251</v>
      </c>
      <c r="N682" s="70"/>
    </row>
    <row r="683" spans="1:14" x14ac:dyDescent="0.25">
      <c r="A683" s="43">
        <v>18</v>
      </c>
      <c r="B683" s="200">
        <f>'N CARRILES HCM'!E95</f>
        <v>1041.8890334788207</v>
      </c>
      <c r="C683" s="95">
        <f t="shared" si="172"/>
        <v>219278447.0988214</v>
      </c>
      <c r="D683" s="95">
        <f t="shared" si="173"/>
        <v>235436458.02281696</v>
      </c>
      <c r="E683" s="95">
        <f t="shared" si="174"/>
        <v>290245751.7828837</v>
      </c>
      <c r="I683" s="43">
        <v>19</v>
      </c>
      <c r="J683" s="95">
        <f t="shared" si="168"/>
        <v>115906772.5664251</v>
      </c>
      <c r="K683" s="95">
        <f t="shared" si="169"/>
        <v>98400532.464644611</v>
      </c>
      <c r="L683" s="95">
        <f t="shared" si="170"/>
        <v>225856800.51178607</v>
      </c>
      <c r="M683" s="300">
        <f t="shared" si="171"/>
        <v>11549495.480716363</v>
      </c>
      <c r="N683" s="70"/>
    </row>
    <row r="684" spans="1:14" x14ac:dyDescent="0.25">
      <c r="A684" s="43">
        <v>19</v>
      </c>
      <c r="B684" s="200">
        <f>'N CARRILES HCM'!E96</f>
        <v>1073.1457044831855</v>
      </c>
      <c r="C684" s="95">
        <f t="shared" si="172"/>
        <v>225856800.51178607</v>
      </c>
      <c r="D684" s="95">
        <f t="shared" si="173"/>
        <v>242499551.7635015</v>
      </c>
      <c r="E684" s="95">
        <f t="shared" si="174"/>
        <v>298953124.33637029</v>
      </c>
      <c r="I684" s="43">
        <v>20</v>
      </c>
      <c r="J684" s="95">
        <f t="shared" si="168"/>
        <v>119383975.74341783</v>
      </c>
      <c r="K684" s="95">
        <f t="shared" si="169"/>
        <v>101352548.43858393</v>
      </c>
      <c r="L684" s="95">
        <f t="shared" si="170"/>
        <v>232632504.52713963</v>
      </c>
      <c r="M684" s="300">
        <f t="shared" si="171"/>
        <v>11895980.345137879</v>
      </c>
      <c r="N684" s="70"/>
    </row>
    <row r="685" spans="1:14" x14ac:dyDescent="0.25">
      <c r="A685" s="43">
        <v>20</v>
      </c>
      <c r="B685" s="200">
        <f>'N CARRILES HCM'!E97</f>
        <v>1105.3400756176809</v>
      </c>
      <c r="C685" s="95">
        <f t="shared" si="172"/>
        <v>232632504.52713963</v>
      </c>
      <c r="D685" s="95">
        <f t="shared" si="173"/>
        <v>249774538.31640652</v>
      </c>
      <c r="E685" s="95">
        <f t="shared" si="174"/>
        <v>307921718.06646138</v>
      </c>
      <c r="I685" s="43">
        <v>21</v>
      </c>
      <c r="J685" s="95">
        <f t="shared" si="168"/>
        <v>122965495.01572038</v>
      </c>
      <c r="K685" s="95">
        <f t="shared" si="169"/>
        <v>104393124.89174144</v>
      </c>
      <c r="L685" s="95">
        <f t="shared" si="170"/>
        <v>239611479.66295382</v>
      </c>
      <c r="M685" s="300">
        <f t="shared" si="171"/>
        <v>12252859.755492017</v>
      </c>
      <c r="N685" s="70"/>
    </row>
    <row r="686" spans="1:14" x14ac:dyDescent="0.25">
      <c r="A686" s="43">
        <v>21</v>
      </c>
      <c r="B686" s="200">
        <f>'N CARRILES HCM'!E98</f>
        <v>1138.5002778862113</v>
      </c>
      <c r="C686" s="95">
        <f t="shared" si="172"/>
        <v>239611479.66295382</v>
      </c>
      <c r="D686" s="95">
        <f t="shared" si="173"/>
        <v>257267774.46589872</v>
      </c>
      <c r="E686" s="95">
        <f t="shared" si="174"/>
        <v>317159369.60845518</v>
      </c>
      <c r="I686" s="43">
        <v>22</v>
      </c>
      <c r="J686" s="95">
        <f t="shared" si="168"/>
        <v>126654459.86619198</v>
      </c>
      <c r="K686" s="95">
        <f t="shared" si="169"/>
        <v>107524918.63849369</v>
      </c>
      <c r="L686" s="95">
        <f t="shared" si="170"/>
        <v>246799824.05284244</v>
      </c>
      <c r="M686" s="300">
        <f t="shared" si="171"/>
        <v>12620445.548156768</v>
      </c>
      <c r="N686" s="70"/>
    </row>
    <row r="687" spans="1:14" x14ac:dyDescent="0.25">
      <c r="A687" s="43">
        <v>22</v>
      </c>
      <c r="B687" s="200">
        <f>'N CARRILES HCM'!E99</f>
        <v>1172.6552862227977</v>
      </c>
      <c r="C687" s="95">
        <f t="shared" si="172"/>
        <v>246799824.05284244</v>
      </c>
      <c r="D687" s="95">
        <f t="shared" si="173"/>
        <v>264985807.69987571</v>
      </c>
      <c r="E687" s="95">
        <f t="shared" si="174"/>
        <v>326674150.69670892</v>
      </c>
      <c r="I687" s="43">
        <v>23</v>
      </c>
      <c r="J687" s="95">
        <f t="shared" si="168"/>
        <v>130454093.66217773</v>
      </c>
      <c r="K687" s="95">
        <f t="shared" si="169"/>
        <v>110750666.1976485</v>
      </c>
      <c r="L687" s="95">
        <f t="shared" si="170"/>
        <v>254203818.77442768</v>
      </c>
      <c r="M687" s="300">
        <f t="shared" si="171"/>
        <v>12999058.91460146</v>
      </c>
      <c r="N687" s="70"/>
    </row>
    <row r="688" spans="1:14" x14ac:dyDescent="0.25">
      <c r="A688" s="43">
        <v>23</v>
      </c>
      <c r="B688" s="200">
        <f>'N CARRILES HCM'!E100</f>
        <v>1207.8349448094816</v>
      </c>
      <c r="C688" s="95">
        <f t="shared" si="172"/>
        <v>254203818.77442768</v>
      </c>
      <c r="D688" s="95">
        <f t="shared" si="173"/>
        <v>272935381.93087196</v>
      </c>
      <c r="E688" s="95">
        <f t="shared" si="174"/>
        <v>336474375.21761012</v>
      </c>
      <c r="I688" s="43">
        <v>24</v>
      </c>
      <c r="J688" s="95">
        <f t="shared" si="168"/>
        <v>134367716.47204304</v>
      </c>
      <c r="K688" s="95">
        <f t="shared" si="169"/>
        <v>114073186.18357795</v>
      </c>
      <c r="L688" s="95">
        <f t="shared" si="170"/>
        <v>261829933.33766049</v>
      </c>
      <c r="M688" s="300">
        <f t="shared" si="171"/>
        <v>13389030.682039499</v>
      </c>
      <c r="N688" s="70"/>
    </row>
    <row r="689" spans="1:14" x14ac:dyDescent="0.25">
      <c r="A689" s="43">
        <v>24</v>
      </c>
      <c r="B689" s="200">
        <f>'N CARRILES HCM'!E101</f>
        <v>1244.0699931537658</v>
      </c>
      <c r="C689" s="95">
        <f t="shared" si="172"/>
        <v>261829933.33766049</v>
      </c>
      <c r="D689" s="95">
        <f t="shared" si="173"/>
        <v>281123443.38879806</v>
      </c>
      <c r="E689" s="95">
        <f t="shared" si="174"/>
        <v>346568606.47413838</v>
      </c>
      <c r="I689" s="43">
        <v>25</v>
      </c>
      <c r="J689" s="95">
        <f t="shared" si="168"/>
        <v>138398747.96620435</v>
      </c>
      <c r="K689" s="95">
        <f t="shared" si="169"/>
        <v>117495381.76908529</v>
      </c>
      <c r="L689" s="95">
        <f t="shared" si="170"/>
        <v>269684831.33779031</v>
      </c>
      <c r="M689" s="300">
        <f t="shared" si="171"/>
        <v>13790701.602500677</v>
      </c>
      <c r="N689" s="70"/>
    </row>
    <row r="690" spans="1:14" x14ac:dyDescent="0.25">
      <c r="A690" s="43">
        <v>25</v>
      </c>
      <c r="B690" s="200">
        <f>'N CARRILES HCM'!E102</f>
        <v>1281.3920929483788</v>
      </c>
      <c r="C690" s="95">
        <f t="shared" si="172"/>
        <v>269684831.33779031</v>
      </c>
      <c r="D690" s="95">
        <f t="shared" si="173"/>
        <v>289557146.69046205</v>
      </c>
      <c r="E690" s="95">
        <f t="shared" si="174"/>
        <v>356965664.66836256</v>
      </c>
      <c r="I690" s="43">
        <v>26</v>
      </c>
      <c r="J690" s="95">
        <f t="shared" si="168"/>
        <v>142550710.4051905</v>
      </c>
      <c r="K690" s="95">
        <f t="shared" si="169"/>
        <v>121020243.22215787</v>
      </c>
      <c r="L690" s="95">
        <f t="shared" si="170"/>
        <v>277775376.27792406</v>
      </c>
      <c r="M690" s="300">
        <f t="shared" si="171"/>
        <v>14204422.650575697</v>
      </c>
      <c r="N690" s="70"/>
    </row>
    <row r="691" spans="1:14" x14ac:dyDescent="0.25">
      <c r="A691" s="43">
        <v>26</v>
      </c>
      <c r="B691" s="200">
        <f>'N CARRILES HCM'!E103</f>
        <v>1319.8338557368304</v>
      </c>
      <c r="C691" s="95">
        <f t="shared" si="172"/>
        <v>277775376.27792406</v>
      </c>
      <c r="D691" s="95">
        <f t="shared" si="173"/>
        <v>298243861.09117591</v>
      </c>
      <c r="E691" s="95">
        <f t="shared" si="174"/>
        <v>367674634.60841346</v>
      </c>
      <c r="I691" s="43">
        <v>27</v>
      </c>
      <c r="J691" s="95">
        <f t="shared" si="168"/>
        <v>146827231.71734622</v>
      </c>
      <c r="K691" s="95">
        <f t="shared" si="169"/>
        <v>124650850.5188226</v>
      </c>
      <c r="L691" s="95">
        <f t="shared" si="170"/>
        <v>286108637.56626177</v>
      </c>
      <c r="M691" s="300">
        <f t="shared" si="171"/>
        <v>14630555.330092937</v>
      </c>
      <c r="N691" s="70"/>
    </row>
    <row r="692" spans="1:14" x14ac:dyDescent="0.25">
      <c r="A692" s="43">
        <v>27</v>
      </c>
      <c r="B692" s="200">
        <f>'N CARRILES HCM'!E104</f>
        <v>1359.4288714089353</v>
      </c>
      <c r="C692" s="95">
        <f t="shared" si="172"/>
        <v>286108637.56626177</v>
      </c>
      <c r="D692" s="95">
        <f t="shared" si="173"/>
        <v>307191176.92391121</v>
      </c>
      <c r="E692" s="95">
        <f t="shared" si="174"/>
        <v>378704873.64666587</v>
      </c>
      <c r="I692" s="43">
        <v>28</v>
      </c>
      <c r="J692" s="95">
        <f t="shared" si="168"/>
        <v>151232048.66886657</v>
      </c>
      <c r="K692" s="95">
        <f t="shared" si="169"/>
        <v>128390376.03438725</v>
      </c>
      <c r="L692" s="95">
        <f t="shared" si="170"/>
        <v>294691896.69324958</v>
      </c>
      <c r="M692" s="300">
        <f t="shared" si="171"/>
        <v>15069471.989995778</v>
      </c>
      <c r="N692" s="70"/>
    </row>
    <row r="693" spans="1:14" x14ac:dyDescent="0.25">
      <c r="A693" s="43">
        <v>28</v>
      </c>
      <c r="B693" s="200">
        <f>'N CARRILES HCM'!E105</f>
        <v>1400.2117375512032</v>
      </c>
      <c r="C693" s="95">
        <f t="shared" si="172"/>
        <v>294691896.69324958</v>
      </c>
      <c r="D693" s="95">
        <f t="shared" si="173"/>
        <v>316406912.23162848</v>
      </c>
      <c r="E693" s="95">
        <f t="shared" si="174"/>
        <v>390066019.85606575</v>
      </c>
      <c r="I693" s="43">
        <v>29</v>
      </c>
      <c r="J693" s="95">
        <f t="shared" si="168"/>
        <v>155769010.1289326</v>
      </c>
      <c r="K693" s="95">
        <f t="shared" si="169"/>
        <v>132242087.31541887</v>
      </c>
      <c r="L693" s="95">
        <f t="shared" si="170"/>
        <v>303532653.59404707</v>
      </c>
      <c r="M693" s="300">
        <f t="shared" si="171"/>
        <v>15521556.149695605</v>
      </c>
      <c r="N693" s="70"/>
    </row>
    <row r="694" spans="1:14" x14ac:dyDescent="0.25">
      <c r="A694" s="43">
        <v>29</v>
      </c>
      <c r="B694" s="200">
        <f>'N CARRILES HCM'!E106</f>
        <v>1442.2180896777393</v>
      </c>
      <c r="C694" s="95">
        <f t="shared" si="172"/>
        <v>303532653.59404707</v>
      </c>
      <c r="D694" s="95">
        <f t="shared" si="173"/>
        <v>325899119.59857732</v>
      </c>
      <c r="E694" s="95">
        <f t="shared" si="174"/>
        <v>401768000.45174778</v>
      </c>
      <c r="I694" s="43">
        <v>30</v>
      </c>
      <c r="J694" s="95">
        <f>IF($B$20="P",C658,IF($B$20="L",D658,IF($B$20="M",E658)))</f>
        <v>160442080.43280053</v>
      </c>
      <c r="K694" s="95">
        <f t="shared" si="169"/>
        <v>136209349.93488145</v>
      </c>
      <c r="L694" s="95">
        <f>IF($B$94="P",C695,IF($B$94="L",D695,IF($B$94="M",E695)))</f>
        <v>312638633.20186847</v>
      </c>
      <c r="M694" s="300">
        <f t="shared" si="171"/>
        <v>15987202.834186494</v>
      </c>
      <c r="N694" s="70"/>
    </row>
    <row r="695" spans="1:14" x14ac:dyDescent="0.25">
      <c r="A695" s="43">
        <v>30</v>
      </c>
      <c r="B695" s="200">
        <f>'N CARRILES HCM'!E107</f>
        <v>1485.4846323680713</v>
      </c>
      <c r="C695" s="95">
        <f t="shared" si="172"/>
        <v>312638633.20186847</v>
      </c>
      <c r="D695" s="95">
        <f t="shared" si="173"/>
        <v>335676093.18653464</v>
      </c>
      <c r="E695" s="95">
        <f t="shared" si="174"/>
        <v>413821040.4653002</v>
      </c>
      <c r="I695" s="43">
        <v>31</v>
      </c>
      <c r="J695" s="95">
        <f>IF($B$20="P",C659,IF($B$20="L",D659,IF($B$20="M",E659)))</f>
        <v>165255342.84578457</v>
      </c>
      <c r="K695" s="95">
        <f>IF($B$57="P",K659,IF($B$57="L",L659,IF($B$57="M",M659)))</f>
        <v>140295630.43292791</v>
      </c>
      <c r="L695" s="95">
        <f t="shared" si="170"/>
        <v>322017792.19792461</v>
      </c>
      <c r="M695" s="300">
        <f>L695-K695-J695</f>
        <v>16466818.919212133</v>
      </c>
    </row>
    <row r="696" spans="1:14" x14ac:dyDescent="0.25">
      <c r="A696" s="43">
        <v>31</v>
      </c>
      <c r="B696" s="200">
        <f>'N CARRILES HCM'!E108</f>
        <v>1530.0491713391139</v>
      </c>
      <c r="C696" s="95">
        <f>B696*365*$G$418*L622</f>
        <v>322017792.19792461</v>
      </c>
      <c r="D696" s="95">
        <f>B696*365*$G$418*M622</f>
        <v>345746375.98213077</v>
      </c>
      <c r="E696" s="95">
        <f>B696*365*$G$418*N622</f>
        <v>426235671.6792593</v>
      </c>
      <c r="I696" s="43">
        <v>32</v>
      </c>
      <c r="J696" s="95">
        <f>IF($B$20="P",C660,IF($B$20="L",D660,IF($B$20="M",E660)))</f>
        <v>170213003.13115808</v>
      </c>
      <c r="K696" s="95">
        <f>IF($B$57="P",K660,IF($B$57="L",L660,IF($B$57="M",M660)))</f>
        <v>144504499.34591573</v>
      </c>
      <c r="L696" s="95">
        <f t="shared" si="170"/>
        <v>331678325.9638623</v>
      </c>
      <c r="M696" s="300">
        <f>L696-K696-J696</f>
        <v>16960823.486788481</v>
      </c>
    </row>
    <row r="697" spans="1:14" x14ac:dyDescent="0.25">
      <c r="A697" s="43">
        <v>32</v>
      </c>
      <c r="B697" s="200">
        <f>'N CARRILES HCM'!E109</f>
        <v>1575.9506464792869</v>
      </c>
      <c r="C697" s="95">
        <f>B697*365*$G$418*L623</f>
        <v>331678325.9638623</v>
      </c>
      <c r="D697" s="95">
        <f>B697*365*$G$418*M623</f>
        <v>356118767.26159459</v>
      </c>
      <c r="E697" s="95">
        <f>B697*365*$G$418*N623</f>
        <v>439022741.82963699</v>
      </c>
    </row>
    <row r="698" spans="1:14" x14ac:dyDescent="0.25">
      <c r="A698" s="549"/>
      <c r="B698" s="548"/>
      <c r="C698" s="108"/>
      <c r="D698" s="108"/>
      <c r="E698" s="108"/>
    </row>
    <row r="699" spans="1:14" x14ac:dyDescent="0.25">
      <c r="A699" s="549"/>
      <c r="B699" s="548"/>
      <c r="C699" s="108"/>
      <c r="D699" s="108"/>
      <c r="E699" s="108"/>
    </row>
    <row r="700" spans="1:14" x14ac:dyDescent="0.25">
      <c r="A700" s="239" t="s">
        <v>261</v>
      </c>
      <c r="B700" s="239"/>
      <c r="C700" s="239"/>
      <c r="D700" s="239"/>
      <c r="E700" s="239"/>
    </row>
    <row r="701" spans="1:14" x14ac:dyDescent="0.25">
      <c r="A701" t="s">
        <v>243</v>
      </c>
      <c r="I701" t="s">
        <v>529</v>
      </c>
    </row>
    <row r="702" spans="1:14" ht="15" customHeight="1" x14ac:dyDescent="0.25">
      <c r="C702" s="569" t="s">
        <v>246</v>
      </c>
      <c r="D702" s="569"/>
      <c r="E702" s="569"/>
      <c r="J702" s="30" t="s">
        <v>246</v>
      </c>
      <c r="K702" s="30"/>
      <c r="L702" s="570" t="s">
        <v>250</v>
      </c>
      <c r="M702" s="571"/>
    </row>
    <row r="703" spans="1:14" x14ac:dyDescent="0.25">
      <c r="A703" s="43" t="s">
        <v>18</v>
      </c>
      <c r="B703" s="43" t="s">
        <v>263</v>
      </c>
      <c r="C703" s="298" t="s">
        <v>233</v>
      </c>
      <c r="D703" s="298" t="s">
        <v>234</v>
      </c>
      <c r="E703" s="298" t="s">
        <v>235</v>
      </c>
      <c r="I703" s="43" t="s">
        <v>18</v>
      </c>
      <c r="J703" s="270" t="s">
        <v>531</v>
      </c>
      <c r="K703" s="270" t="s">
        <v>90</v>
      </c>
      <c r="L703" s="572"/>
      <c r="M703" s="573"/>
    </row>
    <row r="704" spans="1:14" x14ac:dyDescent="0.25">
      <c r="A704" s="43">
        <v>0</v>
      </c>
      <c r="B704" s="69">
        <f>J628</f>
        <v>306</v>
      </c>
      <c r="C704" s="95">
        <f>B704*365*$G$207*L591</f>
        <v>60247604.796749994</v>
      </c>
      <c r="D704" s="95">
        <f>B704*365*$G$207*M591</f>
        <v>69147052.939439997</v>
      </c>
      <c r="E704" s="95">
        <f>B704*365*$G$207*N591</f>
        <v>85244394.740400001</v>
      </c>
      <c r="I704" s="43">
        <v>0</v>
      </c>
      <c r="J704" s="200">
        <f>IF($B$20="P",C704,IF($B$20="L",D704,IF($B$20="M",E704)))</f>
        <v>60247604.796749994</v>
      </c>
      <c r="K704" s="200">
        <f>K664</f>
        <v>56122509.441599995</v>
      </c>
      <c r="L704" s="324">
        <f>J704-K704</f>
        <v>4125095.3551499993</v>
      </c>
      <c r="M704" s="70"/>
    </row>
    <row r="705" spans="1:13" x14ac:dyDescent="0.25">
      <c r="A705" s="43">
        <v>1</v>
      </c>
      <c r="B705" s="69">
        <f t="shared" ref="B705:B736" si="175">J629</f>
        <v>315.18</v>
      </c>
      <c r="C705" s="95">
        <f t="shared" ref="C705:C736" si="176">B705*365*$G$207*L592</f>
        <v>62055032.940652497</v>
      </c>
      <c r="D705" s="95">
        <f t="shared" ref="D705:D736" si="177">B705*365*$G$207*M592</f>
        <v>71221464.527623206</v>
      </c>
      <c r="E705" s="95">
        <f t="shared" ref="E705:E736" si="178">B705*365*$G$207*N592</f>
        <v>87801726.582612008</v>
      </c>
      <c r="I705" s="43">
        <v>1</v>
      </c>
      <c r="J705" s="200">
        <f t="shared" ref="J705:J736" si="179">IF($B$20="P",C705,IF($B$20="L",D705,IF($B$20="M",E705)))</f>
        <v>62055032.940652497</v>
      </c>
      <c r="K705" s="200">
        <f t="shared" ref="K705:K736" si="180">K665</f>
        <v>57799942.156303205</v>
      </c>
      <c r="L705" s="324">
        <f t="shared" ref="L705:L736" si="181">J705-K705</f>
        <v>4255090.7843492925</v>
      </c>
      <c r="M705" s="70"/>
    </row>
    <row r="706" spans="1:13" x14ac:dyDescent="0.25">
      <c r="A706" s="43">
        <v>2</v>
      </c>
      <c r="B706" s="69">
        <f t="shared" si="175"/>
        <v>324.6354</v>
      </c>
      <c r="C706" s="95">
        <f t="shared" si="176"/>
        <v>63916683.928872071</v>
      </c>
      <c r="D706" s="95">
        <f t="shared" si="177"/>
        <v>73358108.463451892</v>
      </c>
      <c r="E706" s="95">
        <f t="shared" si="178"/>
        <v>90435778.380090356</v>
      </c>
      <c r="I706" s="43">
        <v>2</v>
      </c>
      <c r="J706" s="200">
        <f t="shared" si="179"/>
        <v>63916683.928872071</v>
      </c>
      <c r="K706" s="200">
        <f t="shared" si="180"/>
        <v>59533940.420992292</v>
      </c>
      <c r="L706" s="324">
        <f t="shared" si="181"/>
        <v>4382743.5078797787</v>
      </c>
      <c r="M706" s="70"/>
    </row>
    <row r="707" spans="1:13" x14ac:dyDescent="0.25">
      <c r="A707" s="43">
        <v>3</v>
      </c>
      <c r="B707" s="69">
        <f t="shared" si="175"/>
        <v>334.37446199999999</v>
      </c>
      <c r="C707" s="95">
        <f t="shared" si="176"/>
        <v>65834184.446738236</v>
      </c>
      <c r="D707" s="95">
        <f t="shared" si="177"/>
        <v>75558851.71735546</v>
      </c>
      <c r="E707" s="95">
        <f t="shared" si="178"/>
        <v>93148851.731493071</v>
      </c>
      <c r="I707" s="43">
        <v>3</v>
      </c>
      <c r="J707" s="200">
        <f t="shared" si="179"/>
        <v>65834184.446738236</v>
      </c>
      <c r="K707" s="200">
        <f t="shared" si="180"/>
        <v>61319958.633622073</v>
      </c>
      <c r="L707" s="324">
        <f t="shared" si="181"/>
        <v>4514225.813116163</v>
      </c>
      <c r="M707" s="70"/>
    </row>
    <row r="708" spans="1:13" x14ac:dyDescent="0.25">
      <c r="A708" s="43">
        <v>4</v>
      </c>
      <c r="B708" s="69">
        <f t="shared" si="175"/>
        <v>344.40569585999998</v>
      </c>
      <c r="C708" s="95">
        <f t="shared" si="176"/>
        <v>67809209.980140373</v>
      </c>
      <c r="D708" s="95">
        <f t="shared" si="177"/>
        <v>77825617.268876106</v>
      </c>
      <c r="E708" s="95">
        <f t="shared" si="178"/>
        <v>95943317.283437848</v>
      </c>
      <c r="I708" s="43">
        <v>4</v>
      </c>
      <c r="J708" s="200">
        <f t="shared" si="179"/>
        <v>67809209.980140373</v>
      </c>
      <c r="K708" s="200">
        <f t="shared" si="180"/>
        <v>63159557.392630726</v>
      </c>
      <c r="L708" s="324">
        <f t="shared" si="181"/>
        <v>4649652.587509647</v>
      </c>
      <c r="M708" s="70"/>
    </row>
    <row r="709" spans="1:13" x14ac:dyDescent="0.25">
      <c r="A709" s="43">
        <v>5</v>
      </c>
      <c r="B709" s="69">
        <f t="shared" si="175"/>
        <v>354.73786673579997</v>
      </c>
      <c r="C709" s="95">
        <f t="shared" si="176"/>
        <v>69843486.279544592</v>
      </c>
      <c r="D709" s="95">
        <f t="shared" si="177"/>
        <v>80160385.786942393</v>
      </c>
      <c r="E709" s="95">
        <f t="shared" si="178"/>
        <v>98821616.801940992</v>
      </c>
      <c r="I709" s="43">
        <v>5</v>
      </c>
      <c r="J709" s="200">
        <f t="shared" si="179"/>
        <v>69843486.279544592</v>
      </c>
      <c r="K709" s="200">
        <f t="shared" si="180"/>
        <v>65054344.114409648</v>
      </c>
      <c r="L709" s="324">
        <f t="shared" si="181"/>
        <v>4789142.165134944</v>
      </c>
      <c r="M709" s="70"/>
    </row>
    <row r="710" spans="1:13" x14ac:dyDescent="0.25">
      <c r="A710" s="43">
        <v>6</v>
      </c>
      <c r="B710" s="69">
        <f t="shared" si="175"/>
        <v>365.38000273787395</v>
      </c>
      <c r="C710" s="95">
        <f t="shared" si="176"/>
        <v>71938790.867930919</v>
      </c>
      <c r="D710" s="95">
        <f t="shared" si="177"/>
        <v>82565197.360550672</v>
      </c>
      <c r="E710" s="95">
        <f t="shared" si="178"/>
        <v>101786265.30599922</v>
      </c>
      <c r="I710" s="43">
        <v>6</v>
      </c>
      <c r="J710" s="200">
        <f t="shared" si="179"/>
        <v>71938790.867930919</v>
      </c>
      <c r="K710" s="200">
        <f t="shared" si="180"/>
        <v>67005974.437841929</v>
      </c>
      <c r="L710" s="324">
        <f t="shared" si="181"/>
        <v>4932816.4300889894</v>
      </c>
      <c r="M710" s="70"/>
    </row>
    <row r="711" spans="1:13" x14ac:dyDescent="0.25">
      <c r="A711" s="43">
        <v>7</v>
      </c>
      <c r="B711" s="69">
        <f t="shared" si="175"/>
        <v>376.34140282001022</v>
      </c>
      <c r="C711" s="95">
        <f t="shared" si="176"/>
        <v>74096954.593968868</v>
      </c>
      <c r="D711" s="95">
        <f t="shared" si="177"/>
        <v>85042153.281367198</v>
      </c>
      <c r="E711" s="95">
        <f t="shared" si="178"/>
        <v>104839853.26517922</v>
      </c>
      <c r="I711" s="43">
        <v>7</v>
      </c>
      <c r="J711" s="200">
        <f t="shared" si="179"/>
        <v>74096954.593968868</v>
      </c>
      <c r="K711" s="200">
        <f t="shared" si="180"/>
        <v>69016153.670977205</v>
      </c>
      <c r="L711" s="324">
        <f t="shared" si="181"/>
        <v>5080800.9229916632</v>
      </c>
      <c r="M711" s="70"/>
    </row>
    <row r="712" spans="1:13" x14ac:dyDescent="0.25">
      <c r="A712" s="43">
        <v>8</v>
      </c>
      <c r="B712" s="69">
        <f t="shared" si="175"/>
        <v>387.63164490461048</v>
      </c>
      <c r="C712" s="95">
        <f t="shared" si="176"/>
        <v>76319863.231787905</v>
      </c>
      <c r="D712" s="95">
        <f t="shared" si="177"/>
        <v>87593417.879808187</v>
      </c>
      <c r="E712" s="95">
        <f t="shared" si="178"/>
        <v>107985048.86313456</v>
      </c>
      <c r="I712" s="43">
        <v>8</v>
      </c>
      <c r="J712" s="200">
        <f t="shared" si="179"/>
        <v>76319863.231787905</v>
      </c>
      <c r="K712" s="200">
        <f t="shared" si="180"/>
        <v>71086638.281106517</v>
      </c>
      <c r="L712" s="324">
        <f t="shared" si="181"/>
        <v>5233224.9506813884</v>
      </c>
      <c r="M712" s="70"/>
    </row>
    <row r="713" spans="1:13" x14ac:dyDescent="0.25">
      <c r="A713" s="43">
        <v>9</v>
      </c>
      <c r="B713" s="69">
        <f t="shared" si="175"/>
        <v>399.26059425174878</v>
      </c>
      <c r="C713" s="95">
        <f t="shared" si="176"/>
        <v>78609459.128741547</v>
      </c>
      <c r="D713" s="95">
        <f t="shared" si="177"/>
        <v>90221220.416202441</v>
      </c>
      <c r="E713" s="95">
        <f t="shared" si="178"/>
        <v>111224600.32902859</v>
      </c>
      <c r="I713" s="43">
        <v>9</v>
      </c>
      <c r="J713" s="200">
        <f t="shared" si="179"/>
        <v>78609459.128741547</v>
      </c>
      <c r="K713" s="200">
        <f t="shared" si="180"/>
        <v>73219237.429539695</v>
      </c>
      <c r="L713" s="324">
        <f t="shared" si="181"/>
        <v>5390221.6992018521</v>
      </c>
      <c r="M713" s="70"/>
    </row>
    <row r="714" spans="1:13" x14ac:dyDescent="0.25">
      <c r="A714" s="43">
        <v>10</v>
      </c>
      <c r="B714" s="69">
        <f t="shared" si="175"/>
        <v>411.23841207930127</v>
      </c>
      <c r="C714" s="95">
        <f t="shared" si="176"/>
        <v>80967742.90260379</v>
      </c>
      <c r="D714" s="95">
        <f t="shared" si="177"/>
        <v>92927857.028688505</v>
      </c>
      <c r="E714" s="95">
        <f t="shared" si="178"/>
        <v>114561338.33889945</v>
      </c>
      <c r="I714" s="43">
        <v>10</v>
      </c>
      <c r="J714" s="200">
        <f t="shared" si="179"/>
        <v>80967742.90260379</v>
      </c>
      <c r="K714" s="200">
        <f t="shared" si="180"/>
        <v>75415814.552425891</v>
      </c>
      <c r="L714" s="324">
        <f t="shared" si="181"/>
        <v>5551928.350177899</v>
      </c>
      <c r="M714" s="70"/>
    </row>
    <row r="715" spans="1:13" x14ac:dyDescent="0.25">
      <c r="A715" s="43">
        <v>11</v>
      </c>
      <c r="B715" s="69">
        <f t="shared" si="175"/>
        <v>423.57556444168034</v>
      </c>
      <c r="C715" s="95">
        <f t="shared" si="176"/>
        <v>83396775.189681917</v>
      </c>
      <c r="D715" s="95">
        <f t="shared" si="177"/>
        <v>95715692.739549175</v>
      </c>
      <c r="E715" s="95">
        <f t="shared" si="178"/>
        <v>117998178.48906645</v>
      </c>
      <c r="I715" s="43">
        <v>11</v>
      </c>
      <c r="J715" s="200">
        <f t="shared" si="179"/>
        <v>83396775.189681917</v>
      </c>
      <c r="K715" s="200">
        <f t="shared" si="180"/>
        <v>77678288.988998681</v>
      </c>
      <c r="L715" s="324">
        <f t="shared" si="181"/>
        <v>5718486.2006832361</v>
      </c>
      <c r="M715" s="70"/>
    </row>
    <row r="716" spans="1:13" x14ac:dyDescent="0.25">
      <c r="A716" s="43">
        <v>12</v>
      </c>
      <c r="B716" s="69">
        <f t="shared" si="175"/>
        <v>436.28283137493065</v>
      </c>
      <c r="C716" s="95">
        <f t="shared" si="176"/>
        <v>91821123.63765125</v>
      </c>
      <c r="D716" s="95">
        <f t="shared" si="177"/>
        <v>98587163.521735638</v>
      </c>
      <c r="E716" s="95">
        <f t="shared" si="178"/>
        <v>121538123.84373844</v>
      </c>
      <c r="I716" s="43">
        <v>12</v>
      </c>
      <c r="J716" s="200">
        <f t="shared" si="179"/>
        <v>91821123.63765125</v>
      </c>
      <c r="K716" s="200">
        <f t="shared" si="180"/>
        <v>80008637.658668637</v>
      </c>
      <c r="L716" s="324">
        <f t="shared" si="181"/>
        <v>11812485.978982612</v>
      </c>
      <c r="M716" s="70"/>
    </row>
    <row r="717" spans="1:13" x14ac:dyDescent="0.25">
      <c r="A717" s="43">
        <v>13</v>
      </c>
      <c r="B717" s="69">
        <f t="shared" si="175"/>
        <v>449.37131631617854</v>
      </c>
      <c r="C717" s="95">
        <f t="shared" si="176"/>
        <v>94575757.346780762</v>
      </c>
      <c r="D717" s="95">
        <f t="shared" si="177"/>
        <v>101544778.4273877</v>
      </c>
      <c r="E717" s="95">
        <f t="shared" si="178"/>
        <v>125184267.55905056</v>
      </c>
      <c r="I717" s="43">
        <v>13</v>
      </c>
      <c r="J717" s="200">
        <f t="shared" si="179"/>
        <v>94575757.346780762</v>
      </c>
      <c r="K717" s="200">
        <f t="shared" si="180"/>
        <v>82408896.788428679</v>
      </c>
      <c r="L717" s="324">
        <f t="shared" si="181"/>
        <v>12166860.558352083</v>
      </c>
      <c r="M717" s="70"/>
    </row>
    <row r="718" spans="1:13" x14ac:dyDescent="0.25">
      <c r="A718" s="43">
        <v>14</v>
      </c>
      <c r="B718" s="69">
        <f t="shared" si="175"/>
        <v>462.85245580566396</v>
      </c>
      <c r="C718" s="95">
        <f t="shared" si="176"/>
        <v>97413030.067184195</v>
      </c>
      <c r="D718" s="95">
        <f t="shared" si="177"/>
        <v>104591121.78020935</v>
      </c>
      <c r="E718" s="95">
        <f t="shared" si="178"/>
        <v>128939795.58582211</v>
      </c>
      <c r="I718" s="43">
        <v>14</v>
      </c>
      <c r="J718" s="200">
        <f t="shared" si="179"/>
        <v>97413030.067184195</v>
      </c>
      <c r="K718" s="200">
        <f t="shared" si="180"/>
        <v>84881163.692081541</v>
      </c>
      <c r="L718" s="324">
        <f t="shared" si="181"/>
        <v>12531866.375102654</v>
      </c>
      <c r="M718" s="70"/>
    </row>
    <row r="719" spans="1:13" x14ac:dyDescent="0.25">
      <c r="A719" s="43">
        <v>15</v>
      </c>
      <c r="B719" s="69">
        <f t="shared" si="175"/>
        <v>476.73802947983393</v>
      </c>
      <c r="C719" s="95">
        <f t="shared" si="176"/>
        <v>100335420.96919975</v>
      </c>
      <c r="D719" s="95">
        <f t="shared" si="177"/>
        <v>107728855.43361564</v>
      </c>
      <c r="E719" s="95">
        <f t="shared" si="178"/>
        <v>132807989.45339678</v>
      </c>
      <c r="I719" s="43">
        <v>15</v>
      </c>
      <c r="J719" s="200">
        <f t="shared" si="179"/>
        <v>100335420.96919975</v>
      </c>
      <c r="K719" s="200">
        <f t="shared" si="180"/>
        <v>87427598.602844015</v>
      </c>
      <c r="L719" s="324">
        <f t="shared" si="181"/>
        <v>12907822.366355732</v>
      </c>
      <c r="M719" s="70"/>
    </row>
    <row r="720" spans="1:13" x14ac:dyDescent="0.25">
      <c r="A720" s="43">
        <v>16</v>
      </c>
      <c r="B720" s="69">
        <f t="shared" si="175"/>
        <v>491.04017036422886</v>
      </c>
      <c r="C720" s="95">
        <f t="shared" si="176"/>
        <v>103345483.59827572</v>
      </c>
      <c r="D720" s="95">
        <f t="shared" si="177"/>
        <v>110960721.09662409</v>
      </c>
      <c r="E720" s="95">
        <f t="shared" si="178"/>
        <v>136792229.13699868</v>
      </c>
      <c r="I720" s="43">
        <v>16</v>
      </c>
      <c r="J720" s="200">
        <f t="shared" si="179"/>
        <v>103345483.59827572</v>
      </c>
      <c r="K720" s="200">
        <f t="shared" si="180"/>
        <v>90050426.560929313</v>
      </c>
      <c r="L720" s="324">
        <f t="shared" si="181"/>
        <v>13295057.037346408</v>
      </c>
      <c r="M720" s="70"/>
    </row>
    <row r="721" spans="1:13" x14ac:dyDescent="0.25">
      <c r="A721" s="43">
        <v>17</v>
      </c>
      <c r="B721" s="69">
        <f t="shared" si="175"/>
        <v>505.77137547515571</v>
      </c>
      <c r="C721" s="95">
        <f t="shared" si="176"/>
        <v>106445848.10622397</v>
      </c>
      <c r="D721" s="95">
        <f t="shared" si="177"/>
        <v>114289542.72952279</v>
      </c>
      <c r="E721" s="95">
        <f t="shared" si="178"/>
        <v>140895996.01110861</v>
      </c>
      <c r="I721" s="43">
        <v>17</v>
      </c>
      <c r="J721" s="200">
        <f>IF($B$20="P",C721,IF($B$20="L",D721,IF($B$20="M",E721)))</f>
        <v>106445848.10622397</v>
      </c>
      <c r="K721" s="200">
        <f t="shared" si="180"/>
        <v>92751939.357757196</v>
      </c>
      <c r="L721" s="324">
        <f t="shared" si="181"/>
        <v>13693908.748466775</v>
      </c>
      <c r="M721" s="70"/>
    </row>
    <row r="722" spans="1:13" x14ac:dyDescent="0.25">
      <c r="A722" s="43">
        <v>18</v>
      </c>
      <c r="B722" s="69">
        <f t="shared" si="175"/>
        <v>520.94451673941035</v>
      </c>
      <c r="C722" s="95">
        <f t="shared" si="176"/>
        <v>109639223.5494107</v>
      </c>
      <c r="D722" s="95">
        <f t="shared" si="177"/>
        <v>117718229.01140848</v>
      </c>
      <c r="E722" s="95">
        <f t="shared" si="178"/>
        <v>145122875.89144185</v>
      </c>
      <c r="I722" s="43">
        <v>18</v>
      </c>
      <c r="J722" s="200">
        <f t="shared" si="179"/>
        <v>109639223.5494107</v>
      </c>
      <c r="K722" s="200">
        <f t="shared" si="180"/>
        <v>95534497.538489893</v>
      </c>
      <c r="L722" s="324">
        <f t="shared" si="181"/>
        <v>14104726.010920808</v>
      </c>
      <c r="M722" s="70"/>
    </row>
    <row r="723" spans="1:13" x14ac:dyDescent="0.25">
      <c r="A723" s="43">
        <v>19</v>
      </c>
      <c r="B723" s="69">
        <f t="shared" si="175"/>
        <v>536.57285224159273</v>
      </c>
      <c r="C723" s="95">
        <f t="shared" si="176"/>
        <v>112928400.25589304</v>
      </c>
      <c r="D723" s="95">
        <f t="shared" si="177"/>
        <v>121249775.88175075</v>
      </c>
      <c r="E723" s="95">
        <f t="shared" si="178"/>
        <v>149476562.16818514</v>
      </c>
      <c r="I723" s="43">
        <v>19</v>
      </c>
      <c r="J723" s="200">
        <f t="shared" si="179"/>
        <v>112928400.25589304</v>
      </c>
      <c r="K723" s="200">
        <f t="shared" si="180"/>
        <v>98400532.464644611</v>
      </c>
      <c r="L723" s="324">
        <f t="shared" si="181"/>
        <v>14527867.791248426</v>
      </c>
      <c r="M723" s="70"/>
    </row>
    <row r="724" spans="1:13" x14ac:dyDescent="0.25">
      <c r="A724" s="43">
        <v>20</v>
      </c>
      <c r="B724" s="69">
        <f t="shared" si="175"/>
        <v>552.67003780884045</v>
      </c>
      <c r="C724" s="95">
        <f t="shared" si="176"/>
        <v>116316252.26356982</v>
      </c>
      <c r="D724" s="95">
        <f t="shared" si="177"/>
        <v>124887269.15820326</v>
      </c>
      <c r="E724" s="95">
        <f t="shared" si="178"/>
        <v>153960859.03323069</v>
      </c>
      <c r="I724" s="43">
        <v>20</v>
      </c>
      <c r="J724" s="200">
        <f t="shared" si="179"/>
        <v>116316252.26356982</v>
      </c>
      <c r="K724" s="200">
        <f t="shared" si="180"/>
        <v>101352548.43858393</v>
      </c>
      <c r="L724" s="324">
        <f t="shared" si="181"/>
        <v>14963703.824985892</v>
      </c>
      <c r="M724" s="70"/>
    </row>
    <row r="725" spans="1:13" x14ac:dyDescent="0.25">
      <c r="A725" s="43">
        <v>21</v>
      </c>
      <c r="B725" s="69">
        <f t="shared" si="175"/>
        <v>569.25013894310564</v>
      </c>
      <c r="C725" s="95">
        <f t="shared" si="176"/>
        <v>119805739.83147691</v>
      </c>
      <c r="D725" s="95">
        <f t="shared" si="177"/>
        <v>128633887.23294936</v>
      </c>
      <c r="E725" s="95">
        <f t="shared" si="178"/>
        <v>158579684.80422759</v>
      </c>
      <c r="I725" s="43">
        <v>21</v>
      </c>
      <c r="J725" s="200">
        <f t="shared" si="179"/>
        <v>119805739.83147691</v>
      </c>
      <c r="K725" s="200">
        <f t="shared" si="180"/>
        <v>104393124.89174144</v>
      </c>
      <c r="L725" s="324">
        <f t="shared" si="181"/>
        <v>15412614.939735472</v>
      </c>
      <c r="M725" s="70"/>
    </row>
    <row r="726" spans="1:13" x14ac:dyDescent="0.25">
      <c r="A726" s="43">
        <v>22</v>
      </c>
      <c r="B726" s="69">
        <f t="shared" si="175"/>
        <v>586.32764311139886</v>
      </c>
      <c r="C726" s="95">
        <f t="shared" si="176"/>
        <v>123399912.02642122</v>
      </c>
      <c r="D726" s="95">
        <f t="shared" si="177"/>
        <v>132492903.84993786</v>
      </c>
      <c r="E726" s="95">
        <f t="shared" si="178"/>
        <v>163337075.34835446</v>
      </c>
      <c r="I726" s="43">
        <v>22</v>
      </c>
      <c r="J726" s="200">
        <f t="shared" si="179"/>
        <v>123399912.02642122</v>
      </c>
      <c r="K726" s="200">
        <f t="shared" si="180"/>
        <v>107524918.63849369</v>
      </c>
      <c r="L726" s="324">
        <f t="shared" si="181"/>
        <v>15874993.387927532</v>
      </c>
      <c r="M726" s="70"/>
    </row>
    <row r="727" spans="1:13" x14ac:dyDescent="0.25">
      <c r="A727" s="43">
        <v>23</v>
      </c>
      <c r="B727" s="69">
        <f t="shared" si="175"/>
        <v>603.91747240474081</v>
      </c>
      <c r="C727" s="95">
        <f t="shared" si="176"/>
        <v>127101909.38721384</v>
      </c>
      <c r="D727" s="95">
        <f t="shared" si="177"/>
        <v>136467690.96543598</v>
      </c>
      <c r="E727" s="95">
        <f t="shared" si="178"/>
        <v>168237187.60880506</v>
      </c>
      <c r="I727" s="43">
        <v>23</v>
      </c>
      <c r="J727" s="200">
        <f t="shared" si="179"/>
        <v>127101909.38721384</v>
      </c>
      <c r="K727" s="200">
        <f t="shared" si="180"/>
        <v>110750666.1976485</v>
      </c>
      <c r="L727" s="324">
        <f t="shared" si="181"/>
        <v>16351243.189565346</v>
      </c>
      <c r="M727" s="70"/>
    </row>
    <row r="728" spans="1:13" x14ac:dyDescent="0.25">
      <c r="A728" s="43">
        <v>24</v>
      </c>
      <c r="B728" s="69">
        <f t="shared" si="175"/>
        <v>622.03499657688292</v>
      </c>
      <c r="C728" s="95">
        <f t="shared" si="176"/>
        <v>130914966.66883025</v>
      </c>
      <c r="D728" s="95">
        <f t="shared" si="177"/>
        <v>140561721.69439903</v>
      </c>
      <c r="E728" s="95">
        <f t="shared" si="178"/>
        <v>173284303.23706919</v>
      </c>
      <c r="I728" s="43">
        <v>24</v>
      </c>
      <c r="J728" s="200">
        <f t="shared" si="179"/>
        <v>130914966.66883025</v>
      </c>
      <c r="K728" s="200">
        <f t="shared" si="180"/>
        <v>114073186.18357795</v>
      </c>
      <c r="L728" s="324">
        <f t="shared" si="181"/>
        <v>16841780.485252291</v>
      </c>
      <c r="M728" s="70"/>
    </row>
    <row r="729" spans="1:13" x14ac:dyDescent="0.25">
      <c r="A729" s="43">
        <v>25</v>
      </c>
      <c r="B729" s="69">
        <f t="shared" si="175"/>
        <v>640.69604647418942</v>
      </c>
      <c r="C729" s="95">
        <f t="shared" si="176"/>
        <v>134842415.66889516</v>
      </c>
      <c r="D729" s="95">
        <f t="shared" si="177"/>
        <v>144778573.34523103</v>
      </c>
      <c r="E729" s="95">
        <f t="shared" si="178"/>
        <v>178482832.33418128</v>
      </c>
      <c r="I729" s="43">
        <v>25</v>
      </c>
      <c r="J729" s="200">
        <f t="shared" si="179"/>
        <v>134842415.66889516</v>
      </c>
      <c r="K729" s="200">
        <f t="shared" si="180"/>
        <v>117495381.76908529</v>
      </c>
      <c r="L729" s="324">
        <f t="shared" si="181"/>
        <v>17347033.899809867</v>
      </c>
      <c r="M729" s="70"/>
    </row>
    <row r="730" spans="1:13" x14ac:dyDescent="0.25">
      <c r="A730" s="43">
        <v>26</v>
      </c>
      <c r="B730" s="69">
        <f t="shared" si="175"/>
        <v>659.9169278684152</v>
      </c>
      <c r="C730" s="95">
        <f t="shared" si="176"/>
        <v>138887688.13896203</v>
      </c>
      <c r="D730" s="95">
        <f t="shared" si="177"/>
        <v>149121930.54558796</v>
      </c>
      <c r="E730" s="95">
        <f t="shared" si="178"/>
        <v>183837317.30420673</v>
      </c>
      <c r="I730" s="43">
        <v>26</v>
      </c>
      <c r="J730" s="200">
        <f t="shared" si="179"/>
        <v>138887688.13896203</v>
      </c>
      <c r="K730" s="200">
        <f t="shared" si="180"/>
        <v>121020243.22215787</v>
      </c>
      <c r="L730" s="324">
        <f t="shared" si="181"/>
        <v>17867444.916804165</v>
      </c>
      <c r="M730" s="70"/>
    </row>
    <row r="731" spans="1:13" x14ac:dyDescent="0.25">
      <c r="A731" s="43">
        <v>27</v>
      </c>
      <c r="B731" s="69">
        <f t="shared" si="175"/>
        <v>679.71443570446763</v>
      </c>
      <c r="C731" s="95">
        <f t="shared" si="176"/>
        <v>143054318.78313088</v>
      </c>
      <c r="D731" s="95">
        <f t="shared" si="177"/>
        <v>153595588.46195561</v>
      </c>
      <c r="E731" s="95">
        <f t="shared" si="178"/>
        <v>189352436.82333294</v>
      </c>
      <c r="I731" s="43">
        <v>27</v>
      </c>
      <c r="J731" s="200">
        <f t="shared" si="179"/>
        <v>143054318.78313088</v>
      </c>
      <c r="K731" s="200">
        <f t="shared" si="180"/>
        <v>124650850.5188226</v>
      </c>
      <c r="L731" s="324">
        <f t="shared" si="181"/>
        <v>18403468.264308289</v>
      </c>
      <c r="M731" s="70"/>
    </row>
    <row r="732" spans="1:13" x14ac:dyDescent="0.25">
      <c r="A732" s="43">
        <v>28</v>
      </c>
      <c r="B732" s="69">
        <f t="shared" si="175"/>
        <v>700.10586877560161</v>
      </c>
      <c r="C732" s="95">
        <f t="shared" si="176"/>
        <v>147345948.34662479</v>
      </c>
      <c r="D732" s="95">
        <f t="shared" si="177"/>
        <v>158203456.11581424</v>
      </c>
      <c r="E732" s="95">
        <f t="shared" si="178"/>
        <v>195033009.92803288</v>
      </c>
      <c r="I732" s="43">
        <v>28</v>
      </c>
      <c r="J732" s="200">
        <f t="shared" si="179"/>
        <v>147345948.34662479</v>
      </c>
      <c r="K732" s="200">
        <f t="shared" si="180"/>
        <v>128390376.03438725</v>
      </c>
      <c r="L732" s="324">
        <f t="shared" si="181"/>
        <v>18955572.312237546</v>
      </c>
      <c r="M732" s="70"/>
    </row>
    <row r="733" spans="1:13" x14ac:dyDescent="0.25">
      <c r="A733" s="43">
        <v>29</v>
      </c>
      <c r="B733" s="69">
        <f t="shared" si="175"/>
        <v>721.10904483886964</v>
      </c>
      <c r="C733" s="95">
        <f t="shared" si="176"/>
        <v>151766326.79702353</v>
      </c>
      <c r="D733" s="95">
        <f t="shared" si="177"/>
        <v>162949559.79928866</v>
      </c>
      <c r="E733" s="95">
        <f t="shared" si="178"/>
        <v>200884000.22587389</v>
      </c>
      <c r="I733" s="43">
        <v>29</v>
      </c>
      <c r="J733" s="200">
        <f t="shared" si="179"/>
        <v>151766326.79702353</v>
      </c>
      <c r="K733" s="200">
        <f t="shared" si="180"/>
        <v>132242087.31541887</v>
      </c>
      <c r="L733" s="324">
        <f t="shared" si="181"/>
        <v>19524239.481604666</v>
      </c>
      <c r="M733" s="70"/>
    </row>
    <row r="734" spans="1:13" x14ac:dyDescent="0.25">
      <c r="A734" s="43">
        <v>30</v>
      </c>
      <c r="B734" s="69">
        <f t="shared" si="175"/>
        <v>742.74231618403564</v>
      </c>
      <c r="C734" s="95">
        <f t="shared" si="176"/>
        <v>156319316.60093424</v>
      </c>
      <c r="D734" s="95">
        <f t="shared" si="177"/>
        <v>167838046.59326732</v>
      </c>
      <c r="E734" s="95">
        <f t="shared" si="178"/>
        <v>206910520.2326501</v>
      </c>
      <c r="I734" s="43">
        <v>30</v>
      </c>
      <c r="J734" s="200">
        <f t="shared" si="179"/>
        <v>156319316.60093424</v>
      </c>
      <c r="K734" s="200">
        <f t="shared" si="180"/>
        <v>136209349.93488145</v>
      </c>
      <c r="L734" s="324">
        <f t="shared" si="181"/>
        <v>20109966.666052788</v>
      </c>
      <c r="M734" s="70"/>
    </row>
    <row r="735" spans="1:13" x14ac:dyDescent="0.25">
      <c r="A735" s="43">
        <v>31</v>
      </c>
      <c r="B735" s="69">
        <f t="shared" si="175"/>
        <v>765.02458566955693</v>
      </c>
      <c r="C735" s="95">
        <f t="shared" si="176"/>
        <v>161008896.09896231</v>
      </c>
      <c r="D735" s="95">
        <f t="shared" si="177"/>
        <v>172873187.99106538</v>
      </c>
      <c r="E735" s="95">
        <f t="shared" si="178"/>
        <v>213117835.83962965</v>
      </c>
      <c r="I735" s="43">
        <v>31</v>
      </c>
      <c r="J735" s="200">
        <f t="shared" si="179"/>
        <v>161008896.09896231</v>
      </c>
      <c r="K735" s="200">
        <f t="shared" si="180"/>
        <v>140295630.43292791</v>
      </c>
      <c r="L735" s="324">
        <f t="shared" si="181"/>
        <v>20713265.6660344</v>
      </c>
    </row>
    <row r="736" spans="1:13" x14ac:dyDescent="0.25">
      <c r="A736" s="43">
        <v>32</v>
      </c>
      <c r="B736" s="69">
        <f t="shared" si="175"/>
        <v>787.97532323964344</v>
      </c>
      <c r="C736" s="95">
        <f t="shared" si="176"/>
        <v>165839162.98193115</v>
      </c>
      <c r="D736" s="95">
        <f t="shared" si="177"/>
        <v>178059383.6307973</v>
      </c>
      <c r="E736" s="95">
        <f t="shared" si="178"/>
        <v>219511370.9148185</v>
      </c>
      <c r="I736" s="43">
        <v>32</v>
      </c>
      <c r="J736" s="200">
        <f t="shared" si="179"/>
        <v>165839162.98193115</v>
      </c>
      <c r="K736" s="200">
        <f t="shared" si="180"/>
        <v>144504499.34591573</v>
      </c>
      <c r="L736" s="324">
        <f t="shared" si="181"/>
        <v>21334663.636015415</v>
      </c>
    </row>
    <row r="737" spans="1:15" x14ac:dyDescent="0.25">
      <c r="A737" s="549"/>
      <c r="B737" s="548"/>
      <c r="C737" s="108"/>
      <c r="D737" s="108"/>
      <c r="E737" s="108"/>
    </row>
    <row r="738" spans="1:15" x14ac:dyDescent="0.25">
      <c r="A738" t="s">
        <v>272</v>
      </c>
    </row>
    <row r="739" spans="1:15" x14ac:dyDescent="0.25">
      <c r="A739" s="269" t="s">
        <v>274</v>
      </c>
    </row>
    <row r="740" spans="1:15" ht="15.75" thickBot="1" x14ac:dyDescent="0.3">
      <c r="A740" s="313" t="s">
        <v>253</v>
      </c>
      <c r="F740" s="285"/>
      <c r="G740" s="285"/>
      <c r="H740" s="285"/>
    </row>
    <row r="741" spans="1:15" ht="16.5" thickTop="1" thickBot="1" x14ac:dyDescent="0.3">
      <c r="A741" s="303" t="s">
        <v>237</v>
      </c>
      <c r="B741" s="276" t="s">
        <v>233</v>
      </c>
      <c r="C741" s="276" t="s">
        <v>234</v>
      </c>
      <c r="D741" s="277" t="s">
        <v>235</v>
      </c>
      <c r="F741" t="s">
        <v>239</v>
      </c>
      <c r="O741" s="47"/>
    </row>
    <row r="742" spans="1:15" x14ac:dyDescent="0.25">
      <c r="A742" s="304">
        <v>2</v>
      </c>
      <c r="B742" s="314">
        <v>63.81</v>
      </c>
      <c r="C742" s="314">
        <v>46.88</v>
      </c>
      <c r="D742" s="315">
        <v>35.65</v>
      </c>
      <c r="F742" s="284" t="s">
        <v>237</v>
      </c>
      <c r="G742" s="292" t="s">
        <v>233</v>
      </c>
      <c r="H742" s="292" t="s">
        <v>234</v>
      </c>
      <c r="I742" s="293" t="s">
        <v>235</v>
      </c>
      <c r="O742" s="47"/>
    </row>
    <row r="743" spans="1:15" x14ac:dyDescent="0.25">
      <c r="A743" s="304">
        <v>3</v>
      </c>
      <c r="B743" s="306">
        <f>(B742+B744)/2</f>
        <v>62.975000000000001</v>
      </c>
      <c r="C743" s="306">
        <f>(C742+C744)/2</f>
        <v>46.57</v>
      </c>
      <c r="D743" s="316">
        <f>(D742+D744)/2</f>
        <v>35.515000000000001</v>
      </c>
      <c r="E743" s="60"/>
      <c r="F743" s="321">
        <v>0</v>
      </c>
      <c r="G743" s="302">
        <f>0.000095*(F743)^3-0.002*(F743)^2+0.057*(F743)+1.033</f>
        <v>1.0329999999999999</v>
      </c>
      <c r="H743" s="302">
        <f>0.000035*(F743)^3-0.001*(F743)^2+0.057*(F743)+1.38</f>
        <v>1.38</v>
      </c>
      <c r="I743" s="302">
        <f>0.00003*(F743)^3-0.0006*(F743)^2+0.055*(F743)+1.79</f>
        <v>1.79</v>
      </c>
      <c r="J743" s="60"/>
      <c r="O743" s="47"/>
    </row>
    <row r="744" spans="1:15" x14ac:dyDescent="0.25">
      <c r="A744" s="304">
        <v>4</v>
      </c>
      <c r="B744" s="278">
        <v>62.14</v>
      </c>
      <c r="C744" s="278">
        <v>46.26</v>
      </c>
      <c r="D744" s="305">
        <v>35.380000000000003</v>
      </c>
      <c r="F744" s="285"/>
      <c r="G744" s="285"/>
      <c r="H744" s="285"/>
      <c r="O744" s="47"/>
    </row>
    <row r="745" spans="1:15" x14ac:dyDescent="0.25">
      <c r="A745" s="304">
        <v>5</v>
      </c>
      <c r="B745" s="306">
        <f>(B744+B746)/2</f>
        <v>60.35</v>
      </c>
      <c r="C745" s="306">
        <f>(C744+C746)/2</f>
        <v>45.614999999999995</v>
      </c>
      <c r="D745" s="316">
        <f>(D744+D746)/2</f>
        <v>35.120000000000005</v>
      </c>
      <c r="F745" s="285"/>
      <c r="G745" s="285"/>
      <c r="H745" s="285"/>
      <c r="O745" s="47"/>
    </row>
    <row r="746" spans="1:15" x14ac:dyDescent="0.25">
      <c r="A746" s="304">
        <v>6</v>
      </c>
      <c r="B746" s="278">
        <v>58.56</v>
      </c>
      <c r="C746" s="278">
        <v>44.97</v>
      </c>
      <c r="D746" s="305">
        <v>34.86</v>
      </c>
      <c r="F746" s="104" t="s">
        <v>254</v>
      </c>
      <c r="G746" s="104"/>
      <c r="H746" s="310"/>
      <c r="O746" s="47"/>
    </row>
    <row r="747" spans="1:15" x14ac:dyDescent="0.25">
      <c r="A747" s="304">
        <v>7</v>
      </c>
      <c r="B747" s="306">
        <f>(B746+B748)/2</f>
        <v>55.965000000000003</v>
      </c>
      <c r="C747" s="306">
        <f>(C746+C748)/2</f>
        <v>43.924999999999997</v>
      </c>
      <c r="D747" s="316">
        <f>(D746+D748)/2</f>
        <v>34.435000000000002</v>
      </c>
      <c r="F747" s="35" t="s">
        <v>255</v>
      </c>
      <c r="G747" s="35">
        <v>85</v>
      </c>
      <c r="H747" s="108"/>
      <c r="O747" s="47"/>
    </row>
    <row r="748" spans="1:15" x14ac:dyDescent="0.25">
      <c r="A748" s="304">
        <v>8</v>
      </c>
      <c r="B748" s="278">
        <v>53.37</v>
      </c>
      <c r="C748" s="278">
        <v>42.88</v>
      </c>
      <c r="D748" s="305">
        <v>34.01</v>
      </c>
      <c r="F748" s="35" t="s">
        <v>273</v>
      </c>
      <c r="G748" s="35">
        <v>65</v>
      </c>
      <c r="H748" s="108"/>
      <c r="O748" s="47"/>
    </row>
    <row r="749" spans="1:15" x14ac:dyDescent="0.25">
      <c r="A749" s="304">
        <v>9</v>
      </c>
      <c r="B749" s="306">
        <f>(B748+B750)/2</f>
        <v>50.515000000000001</v>
      </c>
      <c r="C749" s="306">
        <f>(C748+C750)/2</f>
        <v>41.525000000000006</v>
      </c>
      <c r="D749" s="316">
        <f>(D748+D750)/2</f>
        <v>33.405000000000001</v>
      </c>
      <c r="F749" s="35" t="s">
        <v>257</v>
      </c>
      <c r="G749" s="309">
        <f>G748/G747</f>
        <v>0.76470588235294112</v>
      </c>
      <c r="H749" s="108"/>
      <c r="O749" s="47"/>
    </row>
    <row r="750" spans="1:15" x14ac:dyDescent="0.25">
      <c r="A750" s="304">
        <v>10</v>
      </c>
      <c r="B750" s="278">
        <v>47.66</v>
      </c>
      <c r="C750" s="278">
        <v>40.17</v>
      </c>
      <c r="D750" s="305">
        <v>32.799999999999997</v>
      </c>
      <c r="O750" s="47"/>
    </row>
    <row r="751" spans="1:15" x14ac:dyDescent="0.25">
      <c r="A751" s="304">
        <v>11</v>
      </c>
      <c r="B751" s="306">
        <f>(B750+B752)/2</f>
        <v>44.97</v>
      </c>
      <c r="C751" s="306">
        <f>(C750+C752)/2</f>
        <v>38.664999999999999</v>
      </c>
      <c r="D751" s="316">
        <f>(D750+D752)/2</f>
        <v>32.055</v>
      </c>
      <c r="F751" s="285"/>
      <c r="G751" s="285"/>
      <c r="H751" s="285"/>
      <c r="O751" s="47"/>
    </row>
    <row r="752" spans="1:15" ht="15.75" thickBot="1" x14ac:dyDescent="0.3">
      <c r="A752" s="307">
        <v>12</v>
      </c>
      <c r="B752" s="283">
        <v>42.28</v>
      </c>
      <c r="C752" s="283">
        <v>37.159999999999997</v>
      </c>
      <c r="D752" s="308">
        <v>31.31</v>
      </c>
      <c r="N752" s="317"/>
      <c r="O752" s="47"/>
    </row>
    <row r="753" spans="1:15" x14ac:dyDescent="0.25">
      <c r="K753" s="318"/>
      <c r="L753" s="318"/>
      <c r="M753" s="318"/>
      <c r="N753" s="318"/>
      <c r="O753" s="47"/>
    </row>
    <row r="754" spans="1:15" x14ac:dyDescent="0.25">
      <c r="K754" s="317"/>
      <c r="L754" s="317"/>
      <c r="M754" s="317"/>
      <c r="N754" s="317"/>
      <c r="O754" s="47"/>
    </row>
    <row r="755" spans="1:15" x14ac:dyDescent="0.25">
      <c r="A755" s="239" t="s">
        <v>241</v>
      </c>
      <c r="B755" s="239"/>
      <c r="K755" s="45"/>
      <c r="L755" s="45"/>
      <c r="M755" s="45"/>
      <c r="N755" s="45"/>
      <c r="O755" s="47"/>
    </row>
    <row r="756" spans="1:15" x14ac:dyDescent="0.25">
      <c r="A756" t="s">
        <v>276</v>
      </c>
      <c r="C756" t="s">
        <v>227</v>
      </c>
    </row>
    <row r="757" spans="1:15" x14ac:dyDescent="0.25">
      <c r="A757" s="43" t="s">
        <v>228</v>
      </c>
      <c r="B757" s="43">
        <v>8.83</v>
      </c>
    </row>
    <row r="758" spans="1:15" x14ac:dyDescent="0.25">
      <c r="A758" s="43" t="s">
        <v>99</v>
      </c>
      <c r="B758" s="169" t="str">
        <f>$B$20</f>
        <v>P</v>
      </c>
      <c r="C758" s="575" t="s">
        <v>229</v>
      </c>
      <c r="D758" s="575"/>
      <c r="E758" s="575"/>
      <c r="F758" s="575" t="s">
        <v>230</v>
      </c>
      <c r="G758" s="576"/>
      <c r="H758" s="576"/>
      <c r="I758" s="575" t="s">
        <v>231</v>
      </c>
      <c r="J758" s="575"/>
      <c r="K758" s="575"/>
      <c r="L758" s="575" t="s">
        <v>240</v>
      </c>
      <c r="M758" s="575"/>
      <c r="N758" s="575"/>
    </row>
    <row r="759" spans="1:15" x14ac:dyDescent="0.25">
      <c r="A759" s="35" t="s">
        <v>18</v>
      </c>
      <c r="B759" s="95" t="s">
        <v>20</v>
      </c>
      <c r="C759" s="270" t="s">
        <v>233</v>
      </c>
      <c r="D759" s="270" t="s">
        <v>234</v>
      </c>
      <c r="E759" s="270" t="s">
        <v>235</v>
      </c>
      <c r="F759" s="270" t="s">
        <v>233</v>
      </c>
      <c r="G759" s="270" t="s">
        <v>234</v>
      </c>
      <c r="H759" s="270" t="s">
        <v>235</v>
      </c>
      <c r="I759" s="270" t="s">
        <v>233</v>
      </c>
      <c r="J759" s="270" t="s">
        <v>234</v>
      </c>
      <c r="K759" s="270" t="s">
        <v>235</v>
      </c>
      <c r="L759" s="270" t="s">
        <v>233</v>
      </c>
      <c r="M759" s="270" t="s">
        <v>234</v>
      </c>
      <c r="N759" s="270" t="s">
        <v>235</v>
      </c>
    </row>
    <row r="760" spans="1:15" x14ac:dyDescent="0.25">
      <c r="A760" s="271">
        <v>0</v>
      </c>
      <c r="B760" s="272">
        <f>B22*$G$749</f>
        <v>63.470588235294116</v>
      </c>
      <c r="C760" s="273">
        <f>B760</f>
        <v>63.470588235294116</v>
      </c>
      <c r="D760" s="273">
        <f>C760</f>
        <v>63.470588235294116</v>
      </c>
      <c r="E760" s="273">
        <f>D760</f>
        <v>63.470588235294116</v>
      </c>
      <c r="F760" s="266">
        <f>IF(C760&gt;$B$742,2,IF(C760&gt;$B$743,3,IF(C760&gt;$B$744,4,IF(C760&gt;$B$745,5,IF(C760&gt;$B$746,6,IF(C760&gt;$B$747,7,IF(C760&gt;$B$748,8,IF(C760&gt;$B$749,9,IF(C760&gt;$B$750,10,IF(C760&gt;$B$751,11,IF(C760&gt;$B$752,12,12)))))))))))</f>
        <v>3</v>
      </c>
      <c r="G760" s="266">
        <f>IF(D760&gt;$C$742,2,IF(D760&gt;$C$743,3,IF(D760&gt;$C$744,4,IF(D760&gt;$C$745,5,IF(D760&gt;$C$746,6,IF(D760&gt;$C$747,7,IF(D760&gt;$C$748,8,IF(D760&gt;$C$749,9,IF(D760&gt;$C$750,10,IF(D760&gt;$C$751,11,IF(D760&gt;$C$752,12,12)))))))))))</f>
        <v>2</v>
      </c>
      <c r="H760" s="266">
        <f>IF(E760&gt;$D$742,2,IF(E760&gt;$D$743,3,IF(E760&gt;$D$744,4,IF(E760&gt;$D$745,5,IF(E760&gt;$D$746,6,IF(E760&gt;$D$747,7,IF(E760&gt;$D$748,8,IF(E760&gt;$D$749,9,IF(E760&gt;$D$750,10,IF(E760&gt;$D$751,11,IF(E760&gt;$D$752,12,12)))))))))))</f>
        <v>2</v>
      </c>
      <c r="I760" s="312">
        <f>0.000095*(F760)^3-0.002*(F760)^2+0.057*(F760)+1.033</f>
        <v>1.1885649999999999</v>
      </c>
      <c r="J760" s="312">
        <f>0.000035*(G760)^3-0.001*(G760)^2+0.057*(G760)+1.38</f>
        <v>1.4902799999999998</v>
      </c>
      <c r="K760" s="312">
        <f>0.00003*(H760)^3-0.0006*(H760)^2+0.055*(H760)+1.79</f>
        <v>1.89784</v>
      </c>
      <c r="L760" s="204">
        <f>$B$757*I760</f>
        <v>10.495028949999998</v>
      </c>
      <c r="M760" s="204">
        <f>$B$757*J760</f>
        <v>13.159172399999999</v>
      </c>
      <c r="N760" s="204">
        <f>$B$757*K760</f>
        <v>16.757927200000001</v>
      </c>
    </row>
    <row r="761" spans="1:15" x14ac:dyDescent="0.25">
      <c r="A761" s="271">
        <v>1</v>
      </c>
      <c r="B761" s="272">
        <f t="shared" ref="B761:B792" si="182">B23*$G$749</f>
        <v>63.470588235294116</v>
      </c>
      <c r="C761" s="273">
        <f t="shared" ref="C761:C792" si="183">B761</f>
        <v>63.470588235294116</v>
      </c>
      <c r="D761" s="311">
        <f>C761</f>
        <v>63.470588235294116</v>
      </c>
      <c r="E761" s="311">
        <f>D761</f>
        <v>63.470588235294116</v>
      </c>
      <c r="F761" s="266">
        <f t="shared" ref="F761:F792" si="184">IF(C761&gt;$B$742,2,IF(C761&gt;$B$743,3,IF(C761&gt;$B$744,4,IF(C761&gt;$B$745,5,IF(C761&gt;$B$746,6,IF(C761&gt;$B$747,7,IF(C761&gt;$B$748,8,IF(C761&gt;$B$749,9,IF(C761&gt;$B$750,10,IF(C761&gt;$B$751,11,IF(C761&gt;$B$752,12,12)))))))))))</f>
        <v>3</v>
      </c>
      <c r="G761" s="266">
        <f t="shared" ref="G761:G792" si="185">IF(D761&gt;$C$742,2,IF(D761&gt;$C$743,3,IF(D761&gt;$C$744,4,IF(D761&gt;$C$745,5,IF(D761&gt;$C$746,6,IF(D761&gt;$C$747,7,IF(D761&gt;$C$748,8,IF(D761&gt;$C$749,9,IF(D761&gt;$C$750,10,IF(D761&gt;$C$751,11,IF(D761&gt;$C$752,12,12)))))))))))</f>
        <v>2</v>
      </c>
      <c r="H761" s="266">
        <f t="shared" ref="H761:H792" si="186">IF(E761&gt;$D$742,2,IF(E761&gt;$D$743,3,IF(E761&gt;$D$744,4,IF(E761&gt;$D$745,5,IF(E761&gt;$D$746,6,IF(E761&gt;$D$747,7,IF(E761&gt;$D$748,8,IF(E761&gt;$D$749,9,IF(E761&gt;$D$750,10,IF(E761&gt;$D$751,11,IF(E761&gt;$D$752,12,12)))))))))))</f>
        <v>2</v>
      </c>
      <c r="I761" s="312">
        <f t="shared" ref="I761:I790" si="187">0.000095*(F761)^3-0.002*(F761)^2+0.057*(F761)+1.033</f>
        <v>1.1885649999999999</v>
      </c>
      <c r="J761" s="312">
        <f t="shared" ref="J761:J790" si="188">0.000035*(G761)^3-0.001*(G761)^2+0.057*(G761)+1.38</f>
        <v>1.4902799999999998</v>
      </c>
      <c r="K761" s="312">
        <f t="shared" ref="K761:K790" si="189">0.00003*(H761)^3-0.0006*(H761)^2+0.055*(H761)+1.79</f>
        <v>1.89784</v>
      </c>
      <c r="L761" s="204">
        <f t="shared" ref="L761:L790" si="190">$B$757*I761</f>
        <v>10.495028949999998</v>
      </c>
      <c r="M761" s="204">
        <f t="shared" ref="M761:M790" si="191">$B$757*J761</f>
        <v>13.159172399999999</v>
      </c>
      <c r="N761" s="204">
        <f t="shared" ref="N761:N790" si="192">$B$757*K761</f>
        <v>16.757927200000001</v>
      </c>
    </row>
    <row r="762" spans="1:15" x14ac:dyDescent="0.25">
      <c r="A762" s="271">
        <v>2</v>
      </c>
      <c r="B762" s="272">
        <f t="shared" si="182"/>
        <v>63.470588235294116</v>
      </c>
      <c r="C762" s="273">
        <f t="shared" si="183"/>
        <v>63.470588235294116</v>
      </c>
      <c r="D762" s="273">
        <f>C762</f>
        <v>63.470588235294116</v>
      </c>
      <c r="E762" s="273">
        <f>D762</f>
        <v>63.470588235294116</v>
      </c>
      <c r="F762" s="266">
        <f t="shared" si="184"/>
        <v>3</v>
      </c>
      <c r="G762" s="266">
        <f t="shared" si="185"/>
        <v>2</v>
      </c>
      <c r="H762" s="266">
        <f t="shared" si="186"/>
        <v>2</v>
      </c>
      <c r="I762" s="312">
        <f t="shared" si="187"/>
        <v>1.1885649999999999</v>
      </c>
      <c r="J762" s="312">
        <f t="shared" si="188"/>
        <v>1.4902799999999998</v>
      </c>
      <c r="K762" s="312">
        <f t="shared" si="189"/>
        <v>1.89784</v>
      </c>
      <c r="L762" s="204">
        <f t="shared" si="190"/>
        <v>10.495028949999998</v>
      </c>
      <c r="M762" s="204">
        <f t="shared" si="191"/>
        <v>13.159172399999999</v>
      </c>
      <c r="N762" s="204">
        <f t="shared" si="192"/>
        <v>16.757927200000001</v>
      </c>
    </row>
    <row r="763" spans="1:15" x14ac:dyDescent="0.25">
      <c r="A763" s="271">
        <v>3</v>
      </c>
      <c r="B763" s="272">
        <f t="shared" si="182"/>
        <v>63.470588235294116</v>
      </c>
      <c r="C763" s="273">
        <f t="shared" si="183"/>
        <v>63.470588235294116</v>
      </c>
      <c r="D763" s="273">
        <f t="shared" ref="D763:D790" si="193">C763</f>
        <v>63.470588235294116</v>
      </c>
      <c r="E763" s="273">
        <f t="shared" ref="E763:E790" si="194">D763</f>
        <v>63.470588235294116</v>
      </c>
      <c r="F763" s="266">
        <f t="shared" si="184"/>
        <v>3</v>
      </c>
      <c r="G763" s="266">
        <f t="shared" si="185"/>
        <v>2</v>
      </c>
      <c r="H763" s="266">
        <f t="shared" si="186"/>
        <v>2</v>
      </c>
      <c r="I763" s="312">
        <f t="shared" si="187"/>
        <v>1.1885649999999999</v>
      </c>
      <c r="J763" s="312">
        <f t="shared" si="188"/>
        <v>1.4902799999999998</v>
      </c>
      <c r="K763" s="312">
        <f t="shared" si="189"/>
        <v>1.89784</v>
      </c>
      <c r="L763" s="204">
        <f t="shared" si="190"/>
        <v>10.495028949999998</v>
      </c>
      <c r="M763" s="204">
        <f t="shared" si="191"/>
        <v>13.159172399999999</v>
      </c>
      <c r="N763" s="204">
        <f t="shared" si="192"/>
        <v>16.757927200000001</v>
      </c>
    </row>
    <row r="764" spans="1:15" x14ac:dyDescent="0.25">
      <c r="A764" s="271">
        <v>4</v>
      </c>
      <c r="B764" s="272">
        <f t="shared" si="182"/>
        <v>63.470588235294116</v>
      </c>
      <c r="C764" s="273">
        <f t="shared" si="183"/>
        <v>63.470588235294116</v>
      </c>
      <c r="D764" s="273">
        <f t="shared" si="193"/>
        <v>63.470588235294116</v>
      </c>
      <c r="E764" s="273">
        <f t="shared" si="194"/>
        <v>63.470588235294116</v>
      </c>
      <c r="F764" s="266">
        <f t="shared" si="184"/>
        <v>3</v>
      </c>
      <c r="G764" s="266">
        <f t="shared" si="185"/>
        <v>2</v>
      </c>
      <c r="H764" s="266">
        <f t="shared" si="186"/>
        <v>2</v>
      </c>
      <c r="I764" s="312">
        <f t="shared" si="187"/>
        <v>1.1885649999999999</v>
      </c>
      <c r="J764" s="312">
        <f t="shared" si="188"/>
        <v>1.4902799999999998</v>
      </c>
      <c r="K764" s="312">
        <f t="shared" si="189"/>
        <v>1.89784</v>
      </c>
      <c r="L764" s="204">
        <f t="shared" si="190"/>
        <v>10.495028949999998</v>
      </c>
      <c r="M764" s="204">
        <f t="shared" si="191"/>
        <v>13.159172399999999</v>
      </c>
      <c r="N764" s="204">
        <f t="shared" si="192"/>
        <v>16.757927200000001</v>
      </c>
    </row>
    <row r="765" spans="1:15" x14ac:dyDescent="0.25">
      <c r="A765" s="271">
        <v>5</v>
      </c>
      <c r="B765" s="272">
        <f t="shared" si="182"/>
        <v>63.470588235294116</v>
      </c>
      <c r="C765" s="273">
        <f t="shared" si="183"/>
        <v>63.470588235294116</v>
      </c>
      <c r="D765" s="273">
        <f t="shared" si="193"/>
        <v>63.470588235294116</v>
      </c>
      <c r="E765" s="273">
        <f t="shared" si="194"/>
        <v>63.470588235294116</v>
      </c>
      <c r="F765" s="266">
        <f t="shared" si="184"/>
        <v>3</v>
      </c>
      <c r="G765" s="266">
        <f t="shared" si="185"/>
        <v>2</v>
      </c>
      <c r="H765" s="266">
        <f t="shared" si="186"/>
        <v>2</v>
      </c>
      <c r="I765" s="312">
        <f t="shared" si="187"/>
        <v>1.1885649999999999</v>
      </c>
      <c r="J765" s="312">
        <f t="shared" si="188"/>
        <v>1.4902799999999998</v>
      </c>
      <c r="K765" s="312">
        <f t="shared" si="189"/>
        <v>1.89784</v>
      </c>
      <c r="L765" s="204">
        <f t="shared" si="190"/>
        <v>10.495028949999998</v>
      </c>
      <c r="M765" s="204">
        <f t="shared" si="191"/>
        <v>13.159172399999999</v>
      </c>
      <c r="N765" s="204">
        <f t="shared" si="192"/>
        <v>16.757927200000001</v>
      </c>
    </row>
    <row r="766" spans="1:15" x14ac:dyDescent="0.25">
      <c r="A766" s="271">
        <v>6</v>
      </c>
      <c r="B766" s="272">
        <f t="shared" si="182"/>
        <v>63.470588235294116</v>
      </c>
      <c r="C766" s="273">
        <f t="shared" si="183"/>
        <v>63.470588235294116</v>
      </c>
      <c r="D766" s="273">
        <f t="shared" si="193"/>
        <v>63.470588235294116</v>
      </c>
      <c r="E766" s="273">
        <f t="shared" si="194"/>
        <v>63.470588235294116</v>
      </c>
      <c r="F766" s="266">
        <f t="shared" si="184"/>
        <v>3</v>
      </c>
      <c r="G766" s="266">
        <f t="shared" si="185"/>
        <v>2</v>
      </c>
      <c r="H766" s="266">
        <f t="shared" si="186"/>
        <v>2</v>
      </c>
      <c r="I766" s="312">
        <f t="shared" si="187"/>
        <v>1.1885649999999999</v>
      </c>
      <c r="J766" s="312">
        <f t="shared" si="188"/>
        <v>1.4902799999999998</v>
      </c>
      <c r="K766" s="312">
        <f t="shared" si="189"/>
        <v>1.89784</v>
      </c>
      <c r="L766" s="204">
        <f t="shared" si="190"/>
        <v>10.495028949999998</v>
      </c>
      <c r="M766" s="204">
        <f t="shared" si="191"/>
        <v>13.159172399999999</v>
      </c>
      <c r="N766" s="204">
        <f t="shared" si="192"/>
        <v>16.757927200000001</v>
      </c>
    </row>
    <row r="767" spans="1:15" x14ac:dyDescent="0.25">
      <c r="A767" s="271">
        <v>7</v>
      </c>
      <c r="B767" s="272">
        <f t="shared" si="182"/>
        <v>63.470588235294116</v>
      </c>
      <c r="C767" s="273">
        <f t="shared" si="183"/>
        <v>63.470588235294116</v>
      </c>
      <c r="D767" s="273">
        <f t="shared" si="193"/>
        <v>63.470588235294116</v>
      </c>
      <c r="E767" s="273">
        <f t="shared" si="194"/>
        <v>63.470588235294116</v>
      </c>
      <c r="F767" s="266">
        <f t="shared" si="184"/>
        <v>3</v>
      </c>
      <c r="G767" s="266">
        <f t="shared" si="185"/>
        <v>2</v>
      </c>
      <c r="H767" s="266">
        <f t="shared" si="186"/>
        <v>2</v>
      </c>
      <c r="I767" s="312">
        <f t="shared" si="187"/>
        <v>1.1885649999999999</v>
      </c>
      <c r="J767" s="312">
        <f t="shared" si="188"/>
        <v>1.4902799999999998</v>
      </c>
      <c r="K767" s="312">
        <f t="shared" si="189"/>
        <v>1.89784</v>
      </c>
      <c r="L767" s="204">
        <f t="shared" si="190"/>
        <v>10.495028949999998</v>
      </c>
      <c r="M767" s="204">
        <f t="shared" si="191"/>
        <v>13.159172399999999</v>
      </c>
      <c r="N767" s="204">
        <f t="shared" si="192"/>
        <v>16.757927200000001</v>
      </c>
    </row>
    <row r="768" spans="1:15" x14ac:dyDescent="0.25">
      <c r="A768" s="271">
        <v>8</v>
      </c>
      <c r="B768" s="272">
        <f t="shared" si="182"/>
        <v>63.470588235294116</v>
      </c>
      <c r="C768" s="273">
        <f t="shared" si="183"/>
        <v>63.470588235294116</v>
      </c>
      <c r="D768" s="273">
        <f t="shared" si="193"/>
        <v>63.470588235294116</v>
      </c>
      <c r="E768" s="273">
        <f t="shared" si="194"/>
        <v>63.470588235294116</v>
      </c>
      <c r="F768" s="266">
        <f t="shared" si="184"/>
        <v>3</v>
      </c>
      <c r="G768" s="266">
        <f t="shared" si="185"/>
        <v>2</v>
      </c>
      <c r="H768" s="266">
        <f t="shared" si="186"/>
        <v>2</v>
      </c>
      <c r="I768" s="312">
        <f t="shared" si="187"/>
        <v>1.1885649999999999</v>
      </c>
      <c r="J768" s="312">
        <f t="shared" si="188"/>
        <v>1.4902799999999998</v>
      </c>
      <c r="K768" s="312">
        <f t="shared" si="189"/>
        <v>1.89784</v>
      </c>
      <c r="L768" s="204">
        <f t="shared" si="190"/>
        <v>10.495028949999998</v>
      </c>
      <c r="M768" s="204">
        <f t="shared" si="191"/>
        <v>13.159172399999999</v>
      </c>
      <c r="N768" s="204">
        <f t="shared" si="192"/>
        <v>16.757927200000001</v>
      </c>
    </row>
    <row r="769" spans="1:14" x14ac:dyDescent="0.25">
      <c r="A769" s="271">
        <v>9</v>
      </c>
      <c r="B769" s="272">
        <f t="shared" si="182"/>
        <v>63.470588235294116</v>
      </c>
      <c r="C769" s="273">
        <f t="shared" si="183"/>
        <v>63.470588235294116</v>
      </c>
      <c r="D769" s="273">
        <f t="shared" si="193"/>
        <v>63.470588235294116</v>
      </c>
      <c r="E769" s="273">
        <f t="shared" si="194"/>
        <v>63.470588235294116</v>
      </c>
      <c r="F769" s="266">
        <f t="shared" si="184"/>
        <v>3</v>
      </c>
      <c r="G769" s="266">
        <f t="shared" si="185"/>
        <v>2</v>
      </c>
      <c r="H769" s="266">
        <f t="shared" si="186"/>
        <v>2</v>
      </c>
      <c r="I769" s="312">
        <f t="shared" si="187"/>
        <v>1.1885649999999999</v>
      </c>
      <c r="J769" s="312">
        <f t="shared" si="188"/>
        <v>1.4902799999999998</v>
      </c>
      <c r="K769" s="312">
        <f t="shared" si="189"/>
        <v>1.89784</v>
      </c>
      <c r="L769" s="204">
        <f t="shared" si="190"/>
        <v>10.495028949999998</v>
      </c>
      <c r="M769" s="204">
        <f t="shared" si="191"/>
        <v>13.159172399999999</v>
      </c>
      <c r="N769" s="204">
        <f t="shared" si="192"/>
        <v>16.757927200000001</v>
      </c>
    </row>
    <row r="770" spans="1:14" x14ac:dyDescent="0.25">
      <c r="A770" s="271">
        <v>10</v>
      </c>
      <c r="B770" s="272">
        <f t="shared" si="182"/>
        <v>63.470588235294116</v>
      </c>
      <c r="C770" s="273">
        <f t="shared" si="183"/>
        <v>63.470588235294116</v>
      </c>
      <c r="D770" s="273">
        <f t="shared" si="193"/>
        <v>63.470588235294116</v>
      </c>
      <c r="E770" s="273">
        <f t="shared" si="194"/>
        <v>63.470588235294116</v>
      </c>
      <c r="F770" s="266">
        <f t="shared" si="184"/>
        <v>3</v>
      </c>
      <c r="G770" s="266">
        <f t="shared" si="185"/>
        <v>2</v>
      </c>
      <c r="H770" s="266">
        <f t="shared" si="186"/>
        <v>2</v>
      </c>
      <c r="I770" s="312">
        <f t="shared" si="187"/>
        <v>1.1885649999999999</v>
      </c>
      <c r="J770" s="312">
        <f t="shared" si="188"/>
        <v>1.4902799999999998</v>
      </c>
      <c r="K770" s="312">
        <f t="shared" si="189"/>
        <v>1.89784</v>
      </c>
      <c r="L770" s="204">
        <f t="shared" si="190"/>
        <v>10.495028949999998</v>
      </c>
      <c r="M770" s="204">
        <f t="shared" si="191"/>
        <v>13.159172399999999</v>
      </c>
      <c r="N770" s="204">
        <f t="shared" si="192"/>
        <v>16.757927200000001</v>
      </c>
    </row>
    <row r="771" spans="1:14" x14ac:dyDescent="0.25">
      <c r="A771" s="271">
        <v>11</v>
      </c>
      <c r="B771" s="272">
        <f t="shared" si="182"/>
        <v>63.470588235294116</v>
      </c>
      <c r="C771" s="273">
        <f t="shared" si="183"/>
        <v>63.470588235294116</v>
      </c>
      <c r="D771" s="273">
        <f t="shared" si="193"/>
        <v>63.470588235294116</v>
      </c>
      <c r="E771" s="273">
        <f t="shared" si="194"/>
        <v>63.470588235294116</v>
      </c>
      <c r="F771" s="266">
        <f t="shared" si="184"/>
        <v>3</v>
      </c>
      <c r="G771" s="266">
        <f t="shared" si="185"/>
        <v>2</v>
      </c>
      <c r="H771" s="266">
        <f t="shared" si="186"/>
        <v>2</v>
      </c>
      <c r="I771" s="312">
        <f t="shared" si="187"/>
        <v>1.1885649999999999</v>
      </c>
      <c r="J771" s="312">
        <f t="shared" si="188"/>
        <v>1.4902799999999998</v>
      </c>
      <c r="K771" s="312">
        <f t="shared" si="189"/>
        <v>1.89784</v>
      </c>
      <c r="L771" s="204">
        <f t="shared" si="190"/>
        <v>10.495028949999998</v>
      </c>
      <c r="M771" s="204">
        <f t="shared" si="191"/>
        <v>13.159172399999999</v>
      </c>
      <c r="N771" s="204">
        <f t="shared" si="192"/>
        <v>16.757927200000001</v>
      </c>
    </row>
    <row r="772" spans="1:14" x14ac:dyDescent="0.25">
      <c r="A772" s="271">
        <v>12</v>
      </c>
      <c r="B772" s="272">
        <f t="shared" si="182"/>
        <v>63.470588235294116</v>
      </c>
      <c r="C772" s="273">
        <f t="shared" si="183"/>
        <v>63.470588235294116</v>
      </c>
      <c r="D772" s="273">
        <f t="shared" si="193"/>
        <v>63.470588235294116</v>
      </c>
      <c r="E772" s="273">
        <f t="shared" si="194"/>
        <v>63.470588235294116</v>
      </c>
      <c r="F772" s="266">
        <f t="shared" si="184"/>
        <v>3</v>
      </c>
      <c r="G772" s="266">
        <f t="shared" si="185"/>
        <v>2</v>
      </c>
      <c r="H772" s="266">
        <f t="shared" si="186"/>
        <v>2</v>
      </c>
      <c r="I772" s="312">
        <f t="shared" si="187"/>
        <v>1.1885649999999999</v>
      </c>
      <c r="J772" s="312">
        <f t="shared" si="188"/>
        <v>1.4902799999999998</v>
      </c>
      <c r="K772" s="312">
        <f t="shared" si="189"/>
        <v>1.89784</v>
      </c>
      <c r="L772" s="204">
        <f t="shared" si="190"/>
        <v>10.495028949999998</v>
      </c>
      <c r="M772" s="204">
        <f t="shared" si="191"/>
        <v>13.159172399999999</v>
      </c>
      <c r="N772" s="204">
        <f t="shared" si="192"/>
        <v>16.757927200000001</v>
      </c>
    </row>
    <row r="773" spans="1:14" x14ac:dyDescent="0.25">
      <c r="A773" s="271">
        <v>13</v>
      </c>
      <c r="B773" s="272">
        <f t="shared" si="182"/>
        <v>63.470588235294116</v>
      </c>
      <c r="C773" s="273">
        <f t="shared" si="183"/>
        <v>63.470588235294116</v>
      </c>
      <c r="D773" s="273">
        <f t="shared" si="193"/>
        <v>63.470588235294116</v>
      </c>
      <c r="E773" s="273">
        <f t="shared" si="194"/>
        <v>63.470588235294116</v>
      </c>
      <c r="F773" s="266">
        <f t="shared" si="184"/>
        <v>3</v>
      </c>
      <c r="G773" s="266">
        <f t="shared" si="185"/>
        <v>2</v>
      </c>
      <c r="H773" s="266">
        <f t="shared" si="186"/>
        <v>2</v>
      </c>
      <c r="I773" s="312">
        <f t="shared" si="187"/>
        <v>1.1885649999999999</v>
      </c>
      <c r="J773" s="312">
        <f t="shared" si="188"/>
        <v>1.4902799999999998</v>
      </c>
      <c r="K773" s="312">
        <f t="shared" si="189"/>
        <v>1.89784</v>
      </c>
      <c r="L773" s="204">
        <f t="shared" si="190"/>
        <v>10.495028949999998</v>
      </c>
      <c r="M773" s="204">
        <f t="shared" si="191"/>
        <v>13.159172399999999</v>
      </c>
      <c r="N773" s="204">
        <f t="shared" si="192"/>
        <v>16.757927200000001</v>
      </c>
    </row>
    <row r="774" spans="1:14" x14ac:dyDescent="0.25">
      <c r="A774" s="271">
        <v>14</v>
      </c>
      <c r="B774" s="272">
        <f t="shared" si="182"/>
        <v>61.17647058823529</v>
      </c>
      <c r="C774" s="273">
        <f t="shared" si="183"/>
        <v>61.17647058823529</v>
      </c>
      <c r="D774" s="273">
        <f t="shared" si="193"/>
        <v>61.17647058823529</v>
      </c>
      <c r="E774" s="273">
        <f t="shared" si="194"/>
        <v>61.17647058823529</v>
      </c>
      <c r="F774" s="266">
        <f t="shared" si="184"/>
        <v>5</v>
      </c>
      <c r="G774" s="266">
        <f t="shared" si="185"/>
        <v>2</v>
      </c>
      <c r="H774" s="266">
        <f t="shared" si="186"/>
        <v>2</v>
      </c>
      <c r="I774" s="312">
        <f t="shared" si="187"/>
        <v>1.2798749999999999</v>
      </c>
      <c r="J774" s="312">
        <f t="shared" si="188"/>
        <v>1.4902799999999998</v>
      </c>
      <c r="K774" s="312">
        <f t="shared" si="189"/>
        <v>1.89784</v>
      </c>
      <c r="L774" s="204">
        <f t="shared" si="190"/>
        <v>11.301296249999998</v>
      </c>
      <c r="M774" s="204">
        <f t="shared" si="191"/>
        <v>13.159172399999999</v>
      </c>
      <c r="N774" s="204">
        <f t="shared" si="192"/>
        <v>16.757927200000001</v>
      </c>
    </row>
    <row r="775" spans="1:14" x14ac:dyDescent="0.25">
      <c r="A775" s="271">
        <v>15</v>
      </c>
      <c r="B775" s="272">
        <f t="shared" si="182"/>
        <v>61.17647058823529</v>
      </c>
      <c r="C775" s="273">
        <f t="shared" si="183"/>
        <v>61.17647058823529</v>
      </c>
      <c r="D775" s="273">
        <f t="shared" si="193"/>
        <v>61.17647058823529</v>
      </c>
      <c r="E775" s="273">
        <f t="shared" si="194"/>
        <v>61.17647058823529</v>
      </c>
      <c r="F775" s="266">
        <f t="shared" si="184"/>
        <v>5</v>
      </c>
      <c r="G775" s="266">
        <f t="shared" si="185"/>
        <v>2</v>
      </c>
      <c r="H775" s="266">
        <f t="shared" si="186"/>
        <v>2</v>
      </c>
      <c r="I775" s="312">
        <f t="shared" si="187"/>
        <v>1.2798749999999999</v>
      </c>
      <c r="J775" s="312">
        <f t="shared" si="188"/>
        <v>1.4902799999999998</v>
      </c>
      <c r="K775" s="312">
        <f t="shared" si="189"/>
        <v>1.89784</v>
      </c>
      <c r="L775" s="204">
        <f t="shared" si="190"/>
        <v>11.301296249999998</v>
      </c>
      <c r="M775" s="204">
        <f t="shared" si="191"/>
        <v>13.159172399999999</v>
      </c>
      <c r="N775" s="204">
        <f t="shared" si="192"/>
        <v>16.757927200000001</v>
      </c>
    </row>
    <row r="776" spans="1:14" x14ac:dyDescent="0.25">
      <c r="A776" s="271">
        <v>16</v>
      </c>
      <c r="B776" s="272">
        <f t="shared" si="182"/>
        <v>61.17647058823529</v>
      </c>
      <c r="C776" s="273">
        <f t="shared" si="183"/>
        <v>61.17647058823529</v>
      </c>
      <c r="D776" s="273">
        <f t="shared" si="193"/>
        <v>61.17647058823529</v>
      </c>
      <c r="E776" s="273">
        <f t="shared" si="194"/>
        <v>61.17647058823529</v>
      </c>
      <c r="F776" s="266">
        <f t="shared" si="184"/>
        <v>5</v>
      </c>
      <c r="G776" s="266">
        <f t="shared" si="185"/>
        <v>2</v>
      </c>
      <c r="H776" s="266">
        <f t="shared" si="186"/>
        <v>2</v>
      </c>
      <c r="I776" s="312">
        <f t="shared" si="187"/>
        <v>1.2798749999999999</v>
      </c>
      <c r="J776" s="312">
        <f t="shared" si="188"/>
        <v>1.4902799999999998</v>
      </c>
      <c r="K776" s="312">
        <f t="shared" si="189"/>
        <v>1.89784</v>
      </c>
      <c r="L776" s="204">
        <f t="shared" si="190"/>
        <v>11.301296249999998</v>
      </c>
      <c r="M776" s="204">
        <f t="shared" si="191"/>
        <v>13.159172399999999</v>
      </c>
      <c r="N776" s="204">
        <f t="shared" si="192"/>
        <v>16.757927200000001</v>
      </c>
    </row>
    <row r="777" spans="1:14" x14ac:dyDescent="0.25">
      <c r="A777" s="271">
        <v>17</v>
      </c>
      <c r="B777" s="272">
        <f t="shared" si="182"/>
        <v>61.17647058823529</v>
      </c>
      <c r="C777" s="273">
        <f t="shared" si="183"/>
        <v>61.17647058823529</v>
      </c>
      <c r="D777" s="273">
        <f t="shared" si="193"/>
        <v>61.17647058823529</v>
      </c>
      <c r="E777" s="273">
        <f t="shared" si="194"/>
        <v>61.17647058823529</v>
      </c>
      <c r="F777" s="266">
        <f t="shared" si="184"/>
        <v>5</v>
      </c>
      <c r="G777" s="266">
        <f t="shared" si="185"/>
        <v>2</v>
      </c>
      <c r="H777" s="266">
        <f t="shared" si="186"/>
        <v>2</v>
      </c>
      <c r="I777" s="312">
        <f t="shared" si="187"/>
        <v>1.2798749999999999</v>
      </c>
      <c r="J777" s="312">
        <f t="shared" si="188"/>
        <v>1.4902799999999998</v>
      </c>
      <c r="K777" s="312">
        <f t="shared" si="189"/>
        <v>1.89784</v>
      </c>
      <c r="L777" s="204">
        <f t="shared" si="190"/>
        <v>11.301296249999998</v>
      </c>
      <c r="M777" s="204">
        <f t="shared" si="191"/>
        <v>13.159172399999999</v>
      </c>
      <c r="N777" s="204">
        <f t="shared" si="192"/>
        <v>16.757927200000001</v>
      </c>
    </row>
    <row r="778" spans="1:14" x14ac:dyDescent="0.25">
      <c r="A778" s="271">
        <v>18</v>
      </c>
      <c r="B778" s="272">
        <f t="shared" si="182"/>
        <v>61.17647058823529</v>
      </c>
      <c r="C778" s="273">
        <f t="shared" si="183"/>
        <v>61.17647058823529</v>
      </c>
      <c r="D778" s="273">
        <f t="shared" si="193"/>
        <v>61.17647058823529</v>
      </c>
      <c r="E778" s="273">
        <f t="shared" si="194"/>
        <v>61.17647058823529</v>
      </c>
      <c r="F778" s="266">
        <f t="shared" si="184"/>
        <v>5</v>
      </c>
      <c r="G778" s="266">
        <f t="shared" si="185"/>
        <v>2</v>
      </c>
      <c r="H778" s="266">
        <f t="shared" si="186"/>
        <v>2</v>
      </c>
      <c r="I778" s="312">
        <f t="shared" si="187"/>
        <v>1.2798749999999999</v>
      </c>
      <c r="J778" s="312">
        <f t="shared" si="188"/>
        <v>1.4902799999999998</v>
      </c>
      <c r="K778" s="312">
        <f t="shared" si="189"/>
        <v>1.89784</v>
      </c>
      <c r="L778" s="204">
        <f t="shared" si="190"/>
        <v>11.301296249999998</v>
      </c>
      <c r="M778" s="204">
        <f t="shared" si="191"/>
        <v>13.159172399999999</v>
      </c>
      <c r="N778" s="204">
        <f t="shared" si="192"/>
        <v>16.757927200000001</v>
      </c>
    </row>
    <row r="779" spans="1:14" x14ac:dyDescent="0.25">
      <c r="A779" s="271">
        <v>19</v>
      </c>
      <c r="B779" s="272">
        <f t="shared" si="182"/>
        <v>61.17647058823529</v>
      </c>
      <c r="C779" s="273">
        <f t="shared" si="183"/>
        <v>61.17647058823529</v>
      </c>
      <c r="D779" s="273">
        <f t="shared" si="193"/>
        <v>61.17647058823529</v>
      </c>
      <c r="E779" s="273">
        <f t="shared" si="194"/>
        <v>61.17647058823529</v>
      </c>
      <c r="F779" s="266">
        <f t="shared" si="184"/>
        <v>5</v>
      </c>
      <c r="G779" s="266">
        <f t="shared" si="185"/>
        <v>2</v>
      </c>
      <c r="H779" s="266">
        <f t="shared" si="186"/>
        <v>2</v>
      </c>
      <c r="I779" s="312">
        <f t="shared" si="187"/>
        <v>1.2798749999999999</v>
      </c>
      <c r="J779" s="312">
        <f t="shared" si="188"/>
        <v>1.4902799999999998</v>
      </c>
      <c r="K779" s="312">
        <f t="shared" si="189"/>
        <v>1.89784</v>
      </c>
      <c r="L779" s="204">
        <f t="shared" si="190"/>
        <v>11.301296249999998</v>
      </c>
      <c r="M779" s="204">
        <f t="shared" si="191"/>
        <v>13.159172399999999</v>
      </c>
      <c r="N779" s="204">
        <f t="shared" si="192"/>
        <v>16.757927200000001</v>
      </c>
    </row>
    <row r="780" spans="1:14" x14ac:dyDescent="0.25">
      <c r="A780" s="271">
        <v>20</v>
      </c>
      <c r="B780" s="272">
        <f t="shared" si="182"/>
        <v>61.17647058823529</v>
      </c>
      <c r="C780" s="273">
        <f t="shared" si="183"/>
        <v>61.17647058823529</v>
      </c>
      <c r="D780" s="273">
        <f t="shared" si="193"/>
        <v>61.17647058823529</v>
      </c>
      <c r="E780" s="273">
        <f t="shared" si="194"/>
        <v>61.17647058823529</v>
      </c>
      <c r="F780" s="266">
        <f t="shared" si="184"/>
        <v>5</v>
      </c>
      <c r="G780" s="266">
        <f t="shared" si="185"/>
        <v>2</v>
      </c>
      <c r="H780" s="266">
        <f t="shared" si="186"/>
        <v>2</v>
      </c>
      <c r="I780" s="312">
        <f t="shared" si="187"/>
        <v>1.2798749999999999</v>
      </c>
      <c r="J780" s="312">
        <f t="shared" si="188"/>
        <v>1.4902799999999998</v>
      </c>
      <c r="K780" s="312">
        <f t="shared" si="189"/>
        <v>1.89784</v>
      </c>
      <c r="L780" s="204">
        <f t="shared" si="190"/>
        <v>11.301296249999998</v>
      </c>
      <c r="M780" s="204">
        <f t="shared" si="191"/>
        <v>13.159172399999999</v>
      </c>
      <c r="N780" s="204">
        <f t="shared" si="192"/>
        <v>16.757927200000001</v>
      </c>
    </row>
    <row r="781" spans="1:14" x14ac:dyDescent="0.25">
      <c r="A781" s="271">
        <v>21</v>
      </c>
      <c r="B781" s="272">
        <f t="shared" si="182"/>
        <v>61.17647058823529</v>
      </c>
      <c r="C781" s="273">
        <f t="shared" si="183"/>
        <v>61.17647058823529</v>
      </c>
      <c r="D781" s="273">
        <f t="shared" si="193"/>
        <v>61.17647058823529</v>
      </c>
      <c r="E781" s="273">
        <f t="shared" si="194"/>
        <v>61.17647058823529</v>
      </c>
      <c r="F781" s="266">
        <f t="shared" si="184"/>
        <v>5</v>
      </c>
      <c r="G781" s="266">
        <f t="shared" si="185"/>
        <v>2</v>
      </c>
      <c r="H781" s="266">
        <f t="shared" si="186"/>
        <v>2</v>
      </c>
      <c r="I781" s="312">
        <f t="shared" si="187"/>
        <v>1.2798749999999999</v>
      </c>
      <c r="J781" s="312">
        <f t="shared" si="188"/>
        <v>1.4902799999999998</v>
      </c>
      <c r="K781" s="312">
        <f t="shared" si="189"/>
        <v>1.89784</v>
      </c>
      <c r="L781" s="204">
        <f t="shared" si="190"/>
        <v>11.301296249999998</v>
      </c>
      <c r="M781" s="204">
        <f t="shared" si="191"/>
        <v>13.159172399999999</v>
      </c>
      <c r="N781" s="204">
        <f t="shared" si="192"/>
        <v>16.757927200000001</v>
      </c>
    </row>
    <row r="782" spans="1:14" x14ac:dyDescent="0.25">
      <c r="A782" s="271">
        <v>22</v>
      </c>
      <c r="B782" s="272">
        <f t="shared" si="182"/>
        <v>61.17647058823529</v>
      </c>
      <c r="C782" s="273">
        <f t="shared" si="183"/>
        <v>61.17647058823529</v>
      </c>
      <c r="D782" s="273">
        <f t="shared" si="193"/>
        <v>61.17647058823529</v>
      </c>
      <c r="E782" s="273">
        <f t="shared" si="194"/>
        <v>61.17647058823529</v>
      </c>
      <c r="F782" s="266">
        <f t="shared" si="184"/>
        <v>5</v>
      </c>
      <c r="G782" s="266">
        <f t="shared" si="185"/>
        <v>2</v>
      </c>
      <c r="H782" s="266">
        <f t="shared" si="186"/>
        <v>2</v>
      </c>
      <c r="I782" s="312">
        <f t="shared" si="187"/>
        <v>1.2798749999999999</v>
      </c>
      <c r="J782" s="312">
        <f t="shared" si="188"/>
        <v>1.4902799999999998</v>
      </c>
      <c r="K782" s="312">
        <f t="shared" si="189"/>
        <v>1.89784</v>
      </c>
      <c r="L782" s="204">
        <f t="shared" si="190"/>
        <v>11.301296249999998</v>
      </c>
      <c r="M782" s="204">
        <f t="shared" si="191"/>
        <v>13.159172399999999</v>
      </c>
      <c r="N782" s="204">
        <f t="shared" si="192"/>
        <v>16.757927200000001</v>
      </c>
    </row>
    <row r="783" spans="1:14" x14ac:dyDescent="0.25">
      <c r="A783" s="271">
        <v>23</v>
      </c>
      <c r="B783" s="272">
        <f t="shared" si="182"/>
        <v>61.17647058823529</v>
      </c>
      <c r="C783" s="273">
        <f t="shared" si="183"/>
        <v>61.17647058823529</v>
      </c>
      <c r="D783" s="273">
        <f t="shared" si="193"/>
        <v>61.17647058823529</v>
      </c>
      <c r="E783" s="273">
        <f t="shared" si="194"/>
        <v>61.17647058823529</v>
      </c>
      <c r="F783" s="266">
        <f t="shared" si="184"/>
        <v>5</v>
      </c>
      <c r="G783" s="266">
        <f t="shared" si="185"/>
        <v>2</v>
      </c>
      <c r="H783" s="266">
        <f t="shared" si="186"/>
        <v>2</v>
      </c>
      <c r="I783" s="312">
        <f t="shared" si="187"/>
        <v>1.2798749999999999</v>
      </c>
      <c r="J783" s="312">
        <f t="shared" si="188"/>
        <v>1.4902799999999998</v>
      </c>
      <c r="K783" s="312">
        <f t="shared" si="189"/>
        <v>1.89784</v>
      </c>
      <c r="L783" s="204">
        <f t="shared" si="190"/>
        <v>11.301296249999998</v>
      </c>
      <c r="M783" s="204">
        <f t="shared" si="191"/>
        <v>13.159172399999999</v>
      </c>
      <c r="N783" s="204">
        <f t="shared" si="192"/>
        <v>16.757927200000001</v>
      </c>
    </row>
    <row r="784" spans="1:14" x14ac:dyDescent="0.25">
      <c r="A784" s="271">
        <v>24</v>
      </c>
      <c r="B784" s="272">
        <f t="shared" si="182"/>
        <v>61.17647058823529</v>
      </c>
      <c r="C784" s="273">
        <f t="shared" si="183"/>
        <v>61.17647058823529</v>
      </c>
      <c r="D784" s="273">
        <f t="shared" si="193"/>
        <v>61.17647058823529</v>
      </c>
      <c r="E784" s="273">
        <f t="shared" si="194"/>
        <v>61.17647058823529</v>
      </c>
      <c r="F784" s="266">
        <f t="shared" si="184"/>
        <v>5</v>
      </c>
      <c r="G784" s="266">
        <f t="shared" si="185"/>
        <v>2</v>
      </c>
      <c r="H784" s="266">
        <f t="shared" si="186"/>
        <v>2</v>
      </c>
      <c r="I784" s="312">
        <f t="shared" si="187"/>
        <v>1.2798749999999999</v>
      </c>
      <c r="J784" s="312">
        <f t="shared" si="188"/>
        <v>1.4902799999999998</v>
      </c>
      <c r="K784" s="312">
        <f t="shared" si="189"/>
        <v>1.89784</v>
      </c>
      <c r="L784" s="204">
        <f t="shared" si="190"/>
        <v>11.301296249999998</v>
      </c>
      <c r="M784" s="204">
        <f t="shared" si="191"/>
        <v>13.159172399999999</v>
      </c>
      <c r="N784" s="204">
        <f t="shared" si="192"/>
        <v>16.757927200000001</v>
      </c>
    </row>
    <row r="785" spans="1:14" x14ac:dyDescent="0.25">
      <c r="A785" s="271">
        <v>25</v>
      </c>
      <c r="B785" s="272">
        <f t="shared" si="182"/>
        <v>61.17647058823529</v>
      </c>
      <c r="C785" s="273">
        <f t="shared" si="183"/>
        <v>61.17647058823529</v>
      </c>
      <c r="D785" s="273">
        <f t="shared" si="193"/>
        <v>61.17647058823529</v>
      </c>
      <c r="E785" s="273">
        <f t="shared" si="194"/>
        <v>61.17647058823529</v>
      </c>
      <c r="F785" s="266">
        <f t="shared" si="184"/>
        <v>5</v>
      </c>
      <c r="G785" s="266">
        <f t="shared" si="185"/>
        <v>2</v>
      </c>
      <c r="H785" s="266">
        <f t="shared" si="186"/>
        <v>2</v>
      </c>
      <c r="I785" s="312">
        <f t="shared" si="187"/>
        <v>1.2798749999999999</v>
      </c>
      <c r="J785" s="312">
        <f t="shared" si="188"/>
        <v>1.4902799999999998</v>
      </c>
      <c r="K785" s="312">
        <f t="shared" si="189"/>
        <v>1.89784</v>
      </c>
      <c r="L785" s="204">
        <f t="shared" si="190"/>
        <v>11.301296249999998</v>
      </c>
      <c r="M785" s="204">
        <f t="shared" si="191"/>
        <v>13.159172399999999</v>
      </c>
      <c r="N785" s="204">
        <f t="shared" si="192"/>
        <v>16.757927200000001</v>
      </c>
    </row>
    <row r="786" spans="1:14" x14ac:dyDescent="0.25">
      <c r="A786" s="271">
        <v>26</v>
      </c>
      <c r="B786" s="272">
        <f t="shared" si="182"/>
        <v>61.17647058823529</v>
      </c>
      <c r="C786" s="273">
        <f t="shared" si="183"/>
        <v>61.17647058823529</v>
      </c>
      <c r="D786" s="273">
        <f t="shared" si="193"/>
        <v>61.17647058823529</v>
      </c>
      <c r="E786" s="273">
        <f t="shared" si="194"/>
        <v>61.17647058823529</v>
      </c>
      <c r="F786" s="266">
        <f t="shared" si="184"/>
        <v>5</v>
      </c>
      <c r="G786" s="266">
        <f t="shared" si="185"/>
        <v>2</v>
      </c>
      <c r="H786" s="266">
        <f t="shared" si="186"/>
        <v>2</v>
      </c>
      <c r="I786" s="312">
        <f t="shared" si="187"/>
        <v>1.2798749999999999</v>
      </c>
      <c r="J786" s="312">
        <f t="shared" si="188"/>
        <v>1.4902799999999998</v>
      </c>
      <c r="K786" s="312">
        <f t="shared" si="189"/>
        <v>1.89784</v>
      </c>
      <c r="L786" s="204">
        <f t="shared" si="190"/>
        <v>11.301296249999998</v>
      </c>
      <c r="M786" s="204">
        <f t="shared" si="191"/>
        <v>13.159172399999999</v>
      </c>
      <c r="N786" s="204">
        <f t="shared" si="192"/>
        <v>16.757927200000001</v>
      </c>
    </row>
    <row r="787" spans="1:14" x14ac:dyDescent="0.25">
      <c r="A787" s="271">
        <v>27</v>
      </c>
      <c r="B787" s="272">
        <f t="shared" si="182"/>
        <v>61.17647058823529</v>
      </c>
      <c r="C787" s="273">
        <f t="shared" si="183"/>
        <v>61.17647058823529</v>
      </c>
      <c r="D787" s="273">
        <f t="shared" si="193"/>
        <v>61.17647058823529</v>
      </c>
      <c r="E787" s="273">
        <f t="shared" si="194"/>
        <v>61.17647058823529</v>
      </c>
      <c r="F787" s="266">
        <f t="shared" si="184"/>
        <v>5</v>
      </c>
      <c r="G787" s="266">
        <f t="shared" si="185"/>
        <v>2</v>
      </c>
      <c r="H787" s="266">
        <f t="shared" si="186"/>
        <v>2</v>
      </c>
      <c r="I787" s="312">
        <f t="shared" si="187"/>
        <v>1.2798749999999999</v>
      </c>
      <c r="J787" s="312">
        <f t="shared" si="188"/>
        <v>1.4902799999999998</v>
      </c>
      <c r="K787" s="312">
        <f t="shared" si="189"/>
        <v>1.89784</v>
      </c>
      <c r="L787" s="204">
        <f t="shared" si="190"/>
        <v>11.301296249999998</v>
      </c>
      <c r="M787" s="204">
        <f t="shared" si="191"/>
        <v>13.159172399999999</v>
      </c>
      <c r="N787" s="204">
        <f t="shared" si="192"/>
        <v>16.757927200000001</v>
      </c>
    </row>
    <row r="788" spans="1:14" x14ac:dyDescent="0.25">
      <c r="A788" s="271">
        <v>28</v>
      </c>
      <c r="B788" s="272">
        <f t="shared" si="182"/>
        <v>61.17647058823529</v>
      </c>
      <c r="C788" s="273">
        <f t="shared" si="183"/>
        <v>61.17647058823529</v>
      </c>
      <c r="D788" s="273">
        <f t="shared" si="193"/>
        <v>61.17647058823529</v>
      </c>
      <c r="E788" s="273">
        <f t="shared" si="194"/>
        <v>61.17647058823529</v>
      </c>
      <c r="F788" s="266">
        <f t="shared" si="184"/>
        <v>5</v>
      </c>
      <c r="G788" s="266">
        <f t="shared" si="185"/>
        <v>2</v>
      </c>
      <c r="H788" s="266">
        <f t="shared" si="186"/>
        <v>2</v>
      </c>
      <c r="I788" s="312">
        <f t="shared" si="187"/>
        <v>1.2798749999999999</v>
      </c>
      <c r="J788" s="312">
        <f t="shared" si="188"/>
        <v>1.4902799999999998</v>
      </c>
      <c r="K788" s="312">
        <f t="shared" si="189"/>
        <v>1.89784</v>
      </c>
      <c r="L788" s="204">
        <f t="shared" si="190"/>
        <v>11.301296249999998</v>
      </c>
      <c r="M788" s="204">
        <f t="shared" si="191"/>
        <v>13.159172399999999</v>
      </c>
      <c r="N788" s="204">
        <f t="shared" si="192"/>
        <v>16.757927200000001</v>
      </c>
    </row>
    <row r="789" spans="1:14" x14ac:dyDescent="0.25">
      <c r="A789" s="271">
        <v>29</v>
      </c>
      <c r="B789" s="272">
        <f t="shared" si="182"/>
        <v>61.17647058823529</v>
      </c>
      <c r="C789" s="273">
        <f t="shared" si="183"/>
        <v>61.17647058823529</v>
      </c>
      <c r="D789" s="273">
        <f t="shared" si="193"/>
        <v>61.17647058823529</v>
      </c>
      <c r="E789" s="273">
        <f t="shared" si="194"/>
        <v>61.17647058823529</v>
      </c>
      <c r="F789" s="266">
        <f t="shared" si="184"/>
        <v>5</v>
      </c>
      <c r="G789" s="266">
        <f t="shared" si="185"/>
        <v>2</v>
      </c>
      <c r="H789" s="266">
        <f t="shared" si="186"/>
        <v>2</v>
      </c>
      <c r="I789" s="312">
        <f t="shared" si="187"/>
        <v>1.2798749999999999</v>
      </c>
      <c r="J789" s="312">
        <f t="shared" si="188"/>
        <v>1.4902799999999998</v>
      </c>
      <c r="K789" s="312">
        <f t="shared" si="189"/>
        <v>1.89784</v>
      </c>
      <c r="L789" s="204">
        <f t="shared" si="190"/>
        <v>11.301296249999998</v>
      </c>
      <c r="M789" s="204">
        <f t="shared" si="191"/>
        <v>13.159172399999999</v>
      </c>
      <c r="N789" s="204">
        <f t="shared" si="192"/>
        <v>16.757927200000001</v>
      </c>
    </row>
    <row r="790" spans="1:14" x14ac:dyDescent="0.25">
      <c r="A790" s="271">
        <v>30</v>
      </c>
      <c r="B790" s="272">
        <f t="shared" si="182"/>
        <v>61.17647058823529</v>
      </c>
      <c r="C790" s="273">
        <f t="shared" si="183"/>
        <v>61.17647058823529</v>
      </c>
      <c r="D790" s="273">
        <f t="shared" si="193"/>
        <v>61.17647058823529</v>
      </c>
      <c r="E790" s="273">
        <f t="shared" si="194"/>
        <v>61.17647058823529</v>
      </c>
      <c r="F790" s="266">
        <f t="shared" si="184"/>
        <v>5</v>
      </c>
      <c r="G790" s="266">
        <f t="shared" si="185"/>
        <v>2</v>
      </c>
      <c r="H790" s="266">
        <f t="shared" si="186"/>
        <v>2</v>
      </c>
      <c r="I790" s="312">
        <f t="shared" si="187"/>
        <v>1.2798749999999999</v>
      </c>
      <c r="J790" s="312">
        <f t="shared" si="188"/>
        <v>1.4902799999999998</v>
      </c>
      <c r="K790" s="312">
        <f t="shared" si="189"/>
        <v>1.89784</v>
      </c>
      <c r="L790" s="204">
        <f t="shared" si="190"/>
        <v>11.301296249999998</v>
      </c>
      <c r="M790" s="204">
        <f t="shared" si="191"/>
        <v>13.159172399999999</v>
      </c>
      <c r="N790" s="204">
        <f t="shared" si="192"/>
        <v>16.757927200000001</v>
      </c>
    </row>
    <row r="791" spans="1:14" x14ac:dyDescent="0.25">
      <c r="A791" s="271">
        <v>31</v>
      </c>
      <c r="B791" s="272">
        <f t="shared" si="182"/>
        <v>61.17647058823529</v>
      </c>
      <c r="C791" s="273">
        <f t="shared" si="183"/>
        <v>61.17647058823529</v>
      </c>
      <c r="D791" s="273">
        <f>C791</f>
        <v>61.17647058823529</v>
      </c>
      <c r="E791" s="273">
        <f>D791</f>
        <v>61.17647058823529</v>
      </c>
      <c r="F791" s="266">
        <f t="shared" si="184"/>
        <v>5</v>
      </c>
      <c r="G791" s="266">
        <f t="shared" si="185"/>
        <v>2</v>
      </c>
      <c r="H791" s="266">
        <f t="shared" si="186"/>
        <v>2</v>
      </c>
      <c r="I791" s="312">
        <f>0.000095*(F791)^3-0.002*(F791)^2+0.057*(F791)+1.033</f>
        <v>1.2798749999999999</v>
      </c>
      <c r="J791" s="312">
        <f>0.000035*(G791)^3-0.001*(G791)^2+0.057*(G791)+1.38</f>
        <v>1.4902799999999998</v>
      </c>
      <c r="K791" s="312">
        <f>0.00003*(H791)^3-0.0006*(H791)^2+0.055*(H791)+1.79</f>
        <v>1.89784</v>
      </c>
      <c r="L791" s="204">
        <f t="shared" ref="L791:N792" si="195">$B$757*I791</f>
        <v>11.301296249999998</v>
      </c>
      <c r="M791" s="204">
        <f t="shared" si="195"/>
        <v>13.159172399999999</v>
      </c>
      <c r="N791" s="204">
        <f t="shared" si="195"/>
        <v>16.757927200000001</v>
      </c>
    </row>
    <row r="792" spans="1:14" x14ac:dyDescent="0.25">
      <c r="A792" s="271">
        <v>32</v>
      </c>
      <c r="B792" s="272">
        <f t="shared" si="182"/>
        <v>61.17647058823529</v>
      </c>
      <c r="C792" s="273">
        <f t="shared" si="183"/>
        <v>61.17647058823529</v>
      </c>
      <c r="D792" s="273">
        <f>C792</f>
        <v>61.17647058823529</v>
      </c>
      <c r="E792" s="273">
        <f>D792</f>
        <v>61.17647058823529</v>
      </c>
      <c r="F792" s="266">
        <f t="shared" si="184"/>
        <v>5</v>
      </c>
      <c r="G792" s="266">
        <f t="shared" si="185"/>
        <v>2</v>
      </c>
      <c r="H792" s="266">
        <f t="shared" si="186"/>
        <v>2</v>
      </c>
      <c r="I792" s="312">
        <f>0.000095*(F792)^3-0.002*(F792)^2+0.057*(F792)+1.033</f>
        <v>1.2798749999999999</v>
      </c>
      <c r="J792" s="312">
        <f>0.000035*(G792)^3-0.001*(G792)^2+0.057*(G792)+1.38</f>
        <v>1.4902799999999998</v>
      </c>
      <c r="K792" s="312">
        <f>0.00003*(H792)^3-0.0006*(H792)^2+0.055*(H792)+1.79</f>
        <v>1.89784</v>
      </c>
      <c r="L792" s="204">
        <f t="shared" si="195"/>
        <v>11.301296249999998</v>
      </c>
      <c r="M792" s="204">
        <f t="shared" si="195"/>
        <v>13.159172399999999</v>
      </c>
      <c r="N792" s="204">
        <f t="shared" si="195"/>
        <v>16.757927200000001</v>
      </c>
    </row>
    <row r="793" spans="1:14" x14ac:dyDescent="0.25">
      <c r="A793" s="239" t="s">
        <v>13</v>
      </c>
      <c r="B793" s="239"/>
    </row>
    <row r="794" spans="1:14" x14ac:dyDescent="0.25">
      <c r="A794" t="s">
        <v>276</v>
      </c>
      <c r="C794" t="s">
        <v>238</v>
      </c>
    </row>
    <row r="795" spans="1:14" x14ac:dyDescent="0.25">
      <c r="A795" s="43" t="s">
        <v>228</v>
      </c>
      <c r="B795" s="43">
        <f>B757</f>
        <v>8.83</v>
      </c>
    </row>
    <row r="796" spans="1:14" x14ac:dyDescent="0.25">
      <c r="A796" s="43" t="s">
        <v>99</v>
      </c>
      <c r="B796" s="169" t="str">
        <f>$B$57</f>
        <v>P</v>
      </c>
      <c r="C796" s="575" t="s">
        <v>229</v>
      </c>
      <c r="D796" s="575"/>
      <c r="E796" s="575"/>
      <c r="F796" s="575" t="s">
        <v>230</v>
      </c>
      <c r="G796" s="576"/>
      <c r="H796" s="576"/>
      <c r="I796" s="575" t="s">
        <v>231</v>
      </c>
      <c r="J796" s="575"/>
      <c r="K796" s="575"/>
      <c r="L796" s="575" t="s">
        <v>240</v>
      </c>
      <c r="M796" s="575"/>
      <c r="N796" s="575"/>
    </row>
    <row r="797" spans="1:14" x14ac:dyDescent="0.25">
      <c r="A797" s="35" t="s">
        <v>18</v>
      </c>
      <c r="B797" s="95" t="s">
        <v>20</v>
      </c>
      <c r="C797" s="270" t="s">
        <v>233</v>
      </c>
      <c r="D797" s="270" t="s">
        <v>234</v>
      </c>
      <c r="E797" s="270" t="s">
        <v>235</v>
      </c>
      <c r="F797" s="270" t="s">
        <v>233</v>
      </c>
      <c r="G797" s="270" t="s">
        <v>234</v>
      </c>
      <c r="H797" s="270" t="s">
        <v>235</v>
      </c>
      <c r="I797" s="270" t="s">
        <v>233</v>
      </c>
      <c r="J797" s="270" t="s">
        <v>234</v>
      </c>
      <c r="K797" s="270" t="s">
        <v>235</v>
      </c>
      <c r="L797" s="270" t="s">
        <v>233</v>
      </c>
      <c r="M797" s="270" t="s">
        <v>234</v>
      </c>
      <c r="N797" s="270" t="s">
        <v>235</v>
      </c>
    </row>
    <row r="798" spans="1:14" x14ac:dyDescent="0.25">
      <c r="A798" s="271">
        <v>0</v>
      </c>
      <c r="B798" s="272">
        <f>B59*$G$749</f>
        <v>79.780011153850154</v>
      </c>
      <c r="C798" s="273">
        <f>B798</f>
        <v>79.780011153850154</v>
      </c>
      <c r="D798" s="273">
        <f>C798</f>
        <v>79.780011153850154</v>
      </c>
      <c r="E798" s="273">
        <f>D798</f>
        <v>79.780011153850154</v>
      </c>
      <c r="F798" s="266">
        <f>IF(C798&gt;$B$742,2,IF(C798&gt;$B$743,3,IF(C798&gt;$B$744,4,IF(C798&gt;$B$745,5,IF(C798&gt;$B$746,6,IF(C798&gt;$B$747,7,IF(C798&gt;$B$748,8,IF(C798&gt;$B$749,9,IF(C798&gt;$B$750,10,IF(C798&gt;$B$751,11,IF(C798&gt;$B$752,12,12)))))))))))</f>
        <v>2</v>
      </c>
      <c r="G798" s="266">
        <f>IF(D798&gt;$C$742,2,IF(D798&gt;$C$743,3,IF(D798&gt;$C$744,4,IF(D798&gt;$C$745,5,IF(D798&gt;$C$746,6,IF(D798&gt;$C$747,7,IF(D798&gt;$C$748,8,IF(D798&gt;$C$749,9,IF(D798&gt;$C$750,10,IF(D798&gt;$C$751,11,IF(D798&gt;$C$752,12,12)))))))))))</f>
        <v>2</v>
      </c>
      <c r="H798" s="266">
        <f>IF(E798&gt;$D$742,2,IF(E798&gt;$D$743,3,IF(E798&gt;$D$744,4,IF(E798&gt;$D$745,5,IF(E798&gt;$D$746,6,IF(E798&gt;$D$747,7,IF(E798&gt;$D$748,8,IF(E798&gt;$D$749,9,IF(E798&gt;$D$750,10,IF(E798&gt;$D$751,11,IF(E798&gt;$D$752,12,12)))))))))))</f>
        <v>2</v>
      </c>
      <c r="I798" s="312">
        <f>0.000095*(F798)^3-0.002*(F798)^2+0.057*(F798)+1.033</f>
        <v>1.1397599999999999</v>
      </c>
      <c r="J798" s="312">
        <f>0.000035*(G798)^3-0.001*(G798)^2+0.057*(G798)+1.38</f>
        <v>1.4902799999999998</v>
      </c>
      <c r="K798" s="312">
        <f>0.00003*(H798)^3-0.0006*(H798)^2+0.055*(H798)+1.79</f>
        <v>1.89784</v>
      </c>
      <c r="L798" s="204">
        <f>$B$795*I798</f>
        <v>10.064080799999999</v>
      </c>
      <c r="M798" s="204">
        <f>$B$795*J798</f>
        <v>13.159172399999999</v>
      </c>
      <c r="N798" s="204">
        <f>$B$795*K798</f>
        <v>16.757927200000001</v>
      </c>
    </row>
    <row r="799" spans="1:14" x14ac:dyDescent="0.25">
      <c r="A799" s="271">
        <v>1</v>
      </c>
      <c r="B799" s="272">
        <f t="shared" ref="B799:B830" si="196">B60*$G$749</f>
        <v>79.535176194348011</v>
      </c>
      <c r="C799" s="273">
        <f t="shared" ref="C799:C830" si="197">B799</f>
        <v>79.535176194348011</v>
      </c>
      <c r="D799" s="311">
        <f>C799</f>
        <v>79.535176194348011</v>
      </c>
      <c r="E799" s="311">
        <f>D799</f>
        <v>79.535176194348011</v>
      </c>
      <c r="F799" s="266">
        <f t="shared" ref="F799:F830" si="198">IF(C799&gt;$B$742,2,IF(C799&gt;$B$743,3,IF(C799&gt;$B$744,4,IF(C799&gt;$B$745,5,IF(C799&gt;$B$746,6,IF(C799&gt;$B$747,7,IF(C799&gt;$B$748,8,IF(C799&gt;$B$749,9,IF(C799&gt;$B$750,10,IF(C799&gt;$B$751,11,IF(C799&gt;$B$752,12,12)))))))))))</f>
        <v>2</v>
      </c>
      <c r="G799" s="266">
        <f t="shared" ref="G799:G830" si="199">IF(D799&gt;$C$742,2,IF(D799&gt;$C$743,3,IF(D799&gt;$C$744,4,IF(D799&gt;$C$745,5,IF(D799&gt;$C$746,6,IF(D799&gt;$C$747,7,IF(D799&gt;$C$748,8,IF(D799&gt;$C$749,9,IF(D799&gt;$C$750,10,IF(D799&gt;$C$751,11,IF(D799&gt;$C$752,12,12)))))))))))</f>
        <v>2</v>
      </c>
      <c r="H799" s="266">
        <f t="shared" ref="H799:H830" si="200">IF(E799&gt;$D$742,2,IF(E799&gt;$D$743,3,IF(E799&gt;$D$744,4,IF(E799&gt;$D$745,5,IF(E799&gt;$D$746,6,IF(E799&gt;$D$747,7,IF(E799&gt;$D$748,8,IF(E799&gt;$D$749,9,IF(E799&gt;$D$750,10,IF(E799&gt;$D$751,11,IF(E799&gt;$D$752,12,12)))))))))))</f>
        <v>2</v>
      </c>
      <c r="I799" s="312">
        <f t="shared" ref="I799:I828" si="201">0.000095*(F799)^3-0.002*(F799)^2+0.057*(F799)+1.033</f>
        <v>1.1397599999999999</v>
      </c>
      <c r="J799" s="312">
        <f t="shared" ref="J799:J828" si="202">0.000035*(G799)^3-0.001*(G799)^2+0.057*(G799)+1.38</f>
        <v>1.4902799999999998</v>
      </c>
      <c r="K799" s="312">
        <f t="shared" ref="K799:K828" si="203">0.00003*(H799)^3-0.0006*(H799)^2+0.055*(H799)+1.79</f>
        <v>1.89784</v>
      </c>
      <c r="L799" s="204">
        <f t="shared" ref="L799:L828" si="204">$B$795*I799</f>
        <v>10.064080799999999</v>
      </c>
      <c r="M799" s="204">
        <f t="shared" ref="M799:M828" si="205">$B$795*J799</f>
        <v>13.159172399999999</v>
      </c>
      <c r="N799" s="204">
        <f t="shared" ref="N799:N828" si="206">$B$795*K799</f>
        <v>16.757927200000001</v>
      </c>
    </row>
    <row r="800" spans="1:14" x14ac:dyDescent="0.25">
      <c r="A800" s="271">
        <v>2</v>
      </c>
      <c r="B800" s="272">
        <f t="shared" si="196"/>
        <v>79.282996186060814</v>
      </c>
      <c r="C800" s="273">
        <f t="shared" si="197"/>
        <v>79.282996186060814</v>
      </c>
      <c r="D800" s="273">
        <f>C800</f>
        <v>79.282996186060814</v>
      </c>
      <c r="E800" s="273">
        <f>D800</f>
        <v>79.282996186060814</v>
      </c>
      <c r="F800" s="266">
        <f t="shared" si="198"/>
        <v>2</v>
      </c>
      <c r="G800" s="266">
        <f t="shared" si="199"/>
        <v>2</v>
      </c>
      <c r="H800" s="266">
        <f t="shared" si="200"/>
        <v>2</v>
      </c>
      <c r="I800" s="312">
        <f t="shared" si="201"/>
        <v>1.1397599999999999</v>
      </c>
      <c r="J800" s="312">
        <f t="shared" si="202"/>
        <v>1.4902799999999998</v>
      </c>
      <c r="K800" s="312">
        <f t="shared" si="203"/>
        <v>1.89784</v>
      </c>
      <c r="L800" s="204">
        <f t="shared" si="204"/>
        <v>10.064080799999999</v>
      </c>
      <c r="M800" s="204">
        <f t="shared" si="205"/>
        <v>13.159172399999999</v>
      </c>
      <c r="N800" s="204">
        <f t="shared" si="206"/>
        <v>16.757927200000001</v>
      </c>
    </row>
    <row r="801" spans="1:14" x14ac:dyDescent="0.25">
      <c r="A801" s="271">
        <v>3</v>
      </c>
      <c r="B801" s="272">
        <f t="shared" si="196"/>
        <v>79.121249960965244</v>
      </c>
      <c r="C801" s="273">
        <f t="shared" si="197"/>
        <v>79.121249960965244</v>
      </c>
      <c r="D801" s="273">
        <f t="shared" ref="D801:D828" si="207">C801</f>
        <v>79.121249960965244</v>
      </c>
      <c r="E801" s="273">
        <f t="shared" ref="E801:E828" si="208">D801</f>
        <v>79.121249960965244</v>
      </c>
      <c r="F801" s="266">
        <f t="shared" si="198"/>
        <v>2</v>
      </c>
      <c r="G801" s="266">
        <f t="shared" si="199"/>
        <v>2</v>
      </c>
      <c r="H801" s="266">
        <f t="shared" si="200"/>
        <v>2</v>
      </c>
      <c r="I801" s="312">
        <f t="shared" si="201"/>
        <v>1.1397599999999999</v>
      </c>
      <c r="J801" s="312">
        <f t="shared" si="202"/>
        <v>1.4902799999999998</v>
      </c>
      <c r="K801" s="312">
        <f t="shared" si="203"/>
        <v>1.89784</v>
      </c>
      <c r="L801" s="204">
        <f t="shared" si="204"/>
        <v>10.064080799999999</v>
      </c>
      <c r="M801" s="204">
        <f t="shared" si="205"/>
        <v>13.159172399999999</v>
      </c>
      <c r="N801" s="204">
        <f t="shared" si="206"/>
        <v>16.757927200000001</v>
      </c>
    </row>
    <row r="802" spans="1:14" x14ac:dyDescent="0.25">
      <c r="A802" s="271">
        <v>4</v>
      </c>
      <c r="B802" s="272">
        <f t="shared" si="196"/>
        <v>78.85665216567655</v>
      </c>
      <c r="C802" s="273">
        <f t="shared" si="197"/>
        <v>78.85665216567655</v>
      </c>
      <c r="D802" s="273">
        <f t="shared" si="207"/>
        <v>78.85665216567655</v>
      </c>
      <c r="E802" s="273">
        <f t="shared" si="208"/>
        <v>78.85665216567655</v>
      </c>
      <c r="F802" s="266">
        <f t="shared" si="198"/>
        <v>2</v>
      </c>
      <c r="G802" s="266">
        <f t="shared" si="199"/>
        <v>2</v>
      </c>
      <c r="H802" s="266">
        <f t="shared" si="200"/>
        <v>2</v>
      </c>
      <c r="I802" s="312">
        <f t="shared" si="201"/>
        <v>1.1397599999999999</v>
      </c>
      <c r="J802" s="312">
        <f t="shared" si="202"/>
        <v>1.4902799999999998</v>
      </c>
      <c r="K802" s="312">
        <f t="shared" si="203"/>
        <v>1.89784</v>
      </c>
      <c r="L802" s="204">
        <f t="shared" si="204"/>
        <v>10.064080799999999</v>
      </c>
      <c r="M802" s="204">
        <f t="shared" si="205"/>
        <v>13.159172399999999</v>
      </c>
      <c r="N802" s="204">
        <f t="shared" si="206"/>
        <v>16.757927200000001</v>
      </c>
    </row>
    <row r="803" spans="1:14" x14ac:dyDescent="0.25">
      <c r="A803" s="271">
        <v>5</v>
      </c>
      <c r="B803" s="272">
        <f t="shared" si="196"/>
        <v>78.5841164365292</v>
      </c>
      <c r="C803" s="273">
        <f t="shared" si="197"/>
        <v>78.5841164365292</v>
      </c>
      <c r="D803" s="273">
        <f t="shared" si="207"/>
        <v>78.5841164365292</v>
      </c>
      <c r="E803" s="273">
        <f t="shared" si="208"/>
        <v>78.5841164365292</v>
      </c>
      <c r="F803" s="266">
        <f t="shared" si="198"/>
        <v>2</v>
      </c>
      <c r="G803" s="266">
        <f t="shared" si="199"/>
        <v>2</v>
      </c>
      <c r="H803" s="266">
        <f t="shared" si="200"/>
        <v>2</v>
      </c>
      <c r="I803" s="312">
        <f t="shared" si="201"/>
        <v>1.1397599999999999</v>
      </c>
      <c r="J803" s="312">
        <f t="shared" si="202"/>
        <v>1.4902799999999998</v>
      </c>
      <c r="K803" s="312">
        <f t="shared" si="203"/>
        <v>1.89784</v>
      </c>
      <c r="L803" s="204">
        <f t="shared" si="204"/>
        <v>10.064080799999999</v>
      </c>
      <c r="M803" s="204">
        <f t="shared" si="205"/>
        <v>13.159172399999999</v>
      </c>
      <c r="N803" s="204">
        <f t="shared" si="206"/>
        <v>16.757927200000001</v>
      </c>
    </row>
    <row r="804" spans="1:14" x14ac:dyDescent="0.25">
      <c r="A804" s="271">
        <v>6</v>
      </c>
      <c r="B804" s="272">
        <f t="shared" si="196"/>
        <v>78.303404635507434</v>
      </c>
      <c r="C804" s="273">
        <f t="shared" si="197"/>
        <v>78.303404635507434</v>
      </c>
      <c r="D804" s="273">
        <f t="shared" si="207"/>
        <v>78.303404635507434</v>
      </c>
      <c r="E804" s="273">
        <f t="shared" si="208"/>
        <v>78.303404635507434</v>
      </c>
      <c r="F804" s="266">
        <f t="shared" si="198"/>
        <v>2</v>
      </c>
      <c r="G804" s="266">
        <f t="shared" si="199"/>
        <v>2</v>
      </c>
      <c r="H804" s="266">
        <f t="shared" si="200"/>
        <v>2</v>
      </c>
      <c r="I804" s="312">
        <f t="shared" si="201"/>
        <v>1.1397599999999999</v>
      </c>
      <c r="J804" s="312">
        <f t="shared" si="202"/>
        <v>1.4902799999999998</v>
      </c>
      <c r="K804" s="312">
        <f t="shared" si="203"/>
        <v>1.89784</v>
      </c>
      <c r="L804" s="204">
        <f t="shared" si="204"/>
        <v>10.064080799999999</v>
      </c>
      <c r="M804" s="204">
        <f t="shared" si="205"/>
        <v>13.159172399999999</v>
      </c>
      <c r="N804" s="204">
        <f t="shared" si="206"/>
        <v>16.757927200000001</v>
      </c>
    </row>
    <row r="805" spans="1:14" x14ac:dyDescent="0.25">
      <c r="A805" s="271">
        <v>7</v>
      </c>
      <c r="B805" s="272">
        <f t="shared" si="196"/>
        <v>78.014271480455008</v>
      </c>
      <c r="C805" s="273">
        <f t="shared" si="197"/>
        <v>78.014271480455008</v>
      </c>
      <c r="D805" s="273">
        <f t="shared" si="207"/>
        <v>78.014271480455008</v>
      </c>
      <c r="E805" s="273">
        <f t="shared" si="208"/>
        <v>78.014271480455008</v>
      </c>
      <c r="F805" s="266">
        <f t="shared" si="198"/>
        <v>2</v>
      </c>
      <c r="G805" s="266">
        <f t="shared" si="199"/>
        <v>2</v>
      </c>
      <c r="H805" s="266">
        <f t="shared" si="200"/>
        <v>2</v>
      </c>
      <c r="I805" s="312">
        <f t="shared" si="201"/>
        <v>1.1397599999999999</v>
      </c>
      <c r="J805" s="312">
        <f t="shared" si="202"/>
        <v>1.4902799999999998</v>
      </c>
      <c r="K805" s="312">
        <f t="shared" si="203"/>
        <v>1.89784</v>
      </c>
      <c r="L805" s="204">
        <f t="shared" si="204"/>
        <v>10.064080799999999</v>
      </c>
      <c r="M805" s="204">
        <f t="shared" si="205"/>
        <v>13.159172399999999</v>
      </c>
      <c r="N805" s="204">
        <f t="shared" si="206"/>
        <v>16.757927200000001</v>
      </c>
    </row>
    <row r="806" spans="1:14" x14ac:dyDescent="0.25">
      <c r="A806" s="271">
        <v>8</v>
      </c>
      <c r="B806" s="272">
        <f t="shared" si="196"/>
        <v>77.716464330751009</v>
      </c>
      <c r="C806" s="273">
        <f t="shared" si="197"/>
        <v>77.716464330751009</v>
      </c>
      <c r="D806" s="273">
        <f t="shared" si="207"/>
        <v>77.716464330751009</v>
      </c>
      <c r="E806" s="273">
        <f t="shared" si="208"/>
        <v>77.716464330751009</v>
      </c>
      <c r="F806" s="266">
        <f t="shared" si="198"/>
        <v>2</v>
      </c>
      <c r="G806" s="266">
        <f t="shared" si="199"/>
        <v>2</v>
      </c>
      <c r="H806" s="266">
        <f t="shared" si="200"/>
        <v>2</v>
      </c>
      <c r="I806" s="312">
        <f t="shared" si="201"/>
        <v>1.1397599999999999</v>
      </c>
      <c r="J806" s="312">
        <f t="shared" si="202"/>
        <v>1.4902799999999998</v>
      </c>
      <c r="K806" s="312">
        <f t="shared" si="203"/>
        <v>1.89784</v>
      </c>
      <c r="L806" s="204">
        <f t="shared" si="204"/>
        <v>10.064080799999999</v>
      </c>
      <c r="M806" s="204">
        <f t="shared" si="205"/>
        <v>13.159172399999999</v>
      </c>
      <c r="N806" s="204">
        <f t="shared" si="206"/>
        <v>16.757927200000001</v>
      </c>
    </row>
    <row r="807" spans="1:14" x14ac:dyDescent="0.25">
      <c r="A807" s="271">
        <v>9</v>
      </c>
      <c r="B807" s="272">
        <f t="shared" si="196"/>
        <v>77.40972296655589</v>
      </c>
      <c r="C807" s="273">
        <f t="shared" si="197"/>
        <v>77.40972296655589</v>
      </c>
      <c r="D807" s="273">
        <f t="shared" si="207"/>
        <v>77.40972296655589</v>
      </c>
      <c r="E807" s="273">
        <f t="shared" si="208"/>
        <v>77.40972296655589</v>
      </c>
      <c r="F807" s="266">
        <f t="shared" si="198"/>
        <v>2</v>
      </c>
      <c r="G807" s="266">
        <f t="shared" si="199"/>
        <v>2</v>
      </c>
      <c r="H807" s="266">
        <f t="shared" si="200"/>
        <v>2</v>
      </c>
      <c r="I807" s="312">
        <f t="shared" si="201"/>
        <v>1.1397599999999999</v>
      </c>
      <c r="J807" s="312">
        <f t="shared" si="202"/>
        <v>1.4902799999999998</v>
      </c>
      <c r="K807" s="312">
        <f t="shared" si="203"/>
        <v>1.89784</v>
      </c>
      <c r="L807" s="204">
        <f t="shared" si="204"/>
        <v>10.064080799999999</v>
      </c>
      <c r="M807" s="204">
        <f t="shared" si="205"/>
        <v>13.159172399999999</v>
      </c>
      <c r="N807" s="204">
        <f t="shared" si="206"/>
        <v>16.757927200000001</v>
      </c>
    </row>
    <row r="808" spans="1:14" x14ac:dyDescent="0.25">
      <c r="A808" s="271">
        <v>10</v>
      </c>
      <c r="B808" s="272">
        <f t="shared" si="196"/>
        <v>77.093779361434912</v>
      </c>
      <c r="C808" s="273">
        <f t="shared" si="197"/>
        <v>77.093779361434912</v>
      </c>
      <c r="D808" s="273">
        <f t="shared" si="207"/>
        <v>77.093779361434912</v>
      </c>
      <c r="E808" s="273">
        <f t="shared" si="208"/>
        <v>77.093779361434912</v>
      </c>
      <c r="F808" s="266">
        <f t="shared" si="198"/>
        <v>2</v>
      </c>
      <c r="G808" s="266">
        <f t="shared" si="199"/>
        <v>2</v>
      </c>
      <c r="H808" s="266">
        <f t="shared" si="200"/>
        <v>2</v>
      </c>
      <c r="I808" s="312">
        <f t="shared" si="201"/>
        <v>1.1397599999999999</v>
      </c>
      <c r="J808" s="312">
        <f t="shared" si="202"/>
        <v>1.4902799999999998</v>
      </c>
      <c r="K808" s="312">
        <f t="shared" si="203"/>
        <v>1.89784</v>
      </c>
      <c r="L808" s="204">
        <f t="shared" si="204"/>
        <v>10.064080799999999</v>
      </c>
      <c r="M808" s="204">
        <f t="shared" si="205"/>
        <v>13.159172399999999</v>
      </c>
      <c r="N808" s="204">
        <f t="shared" si="206"/>
        <v>16.757927200000001</v>
      </c>
    </row>
    <row r="809" spans="1:14" x14ac:dyDescent="0.25">
      <c r="A809" s="271">
        <v>11</v>
      </c>
      <c r="B809" s="272">
        <f t="shared" si="196"/>
        <v>76.76835744816033</v>
      </c>
      <c r="C809" s="273">
        <f t="shared" si="197"/>
        <v>76.76835744816033</v>
      </c>
      <c r="D809" s="273">
        <f t="shared" si="207"/>
        <v>76.76835744816033</v>
      </c>
      <c r="E809" s="273">
        <f t="shared" si="208"/>
        <v>76.76835744816033</v>
      </c>
      <c r="F809" s="266">
        <f t="shared" si="198"/>
        <v>2</v>
      </c>
      <c r="G809" s="266">
        <f t="shared" si="199"/>
        <v>2</v>
      </c>
      <c r="H809" s="266">
        <f t="shared" si="200"/>
        <v>2</v>
      </c>
      <c r="I809" s="312">
        <f t="shared" si="201"/>
        <v>1.1397599999999999</v>
      </c>
      <c r="J809" s="312">
        <f t="shared" si="202"/>
        <v>1.4902799999999998</v>
      </c>
      <c r="K809" s="312">
        <f t="shared" si="203"/>
        <v>1.89784</v>
      </c>
      <c r="L809" s="204">
        <f t="shared" si="204"/>
        <v>10.064080799999999</v>
      </c>
      <c r="M809" s="204">
        <f t="shared" si="205"/>
        <v>13.159172399999999</v>
      </c>
      <c r="N809" s="204">
        <f t="shared" si="206"/>
        <v>16.757927200000001</v>
      </c>
    </row>
    <row r="810" spans="1:14" x14ac:dyDescent="0.25">
      <c r="A810" s="271">
        <v>12</v>
      </c>
      <c r="B810" s="272">
        <f t="shared" si="196"/>
        <v>76.433172877487479</v>
      </c>
      <c r="C810" s="273">
        <f t="shared" si="197"/>
        <v>76.433172877487479</v>
      </c>
      <c r="D810" s="273">
        <f t="shared" si="207"/>
        <v>76.433172877487479</v>
      </c>
      <c r="E810" s="273">
        <f t="shared" si="208"/>
        <v>76.433172877487479</v>
      </c>
      <c r="F810" s="266">
        <f t="shared" si="198"/>
        <v>2</v>
      </c>
      <c r="G810" s="266">
        <f t="shared" si="199"/>
        <v>2</v>
      </c>
      <c r="H810" s="266">
        <f t="shared" si="200"/>
        <v>2</v>
      </c>
      <c r="I810" s="312">
        <f t="shared" si="201"/>
        <v>1.1397599999999999</v>
      </c>
      <c r="J810" s="312">
        <f t="shared" si="202"/>
        <v>1.4902799999999998</v>
      </c>
      <c r="K810" s="312">
        <f t="shared" si="203"/>
        <v>1.89784</v>
      </c>
      <c r="L810" s="204">
        <f t="shared" si="204"/>
        <v>10.064080799999999</v>
      </c>
      <c r="M810" s="204">
        <f t="shared" si="205"/>
        <v>13.159172399999999</v>
      </c>
      <c r="N810" s="204">
        <f t="shared" si="206"/>
        <v>16.757927200000001</v>
      </c>
    </row>
    <row r="811" spans="1:14" x14ac:dyDescent="0.25">
      <c r="A811" s="271">
        <v>13</v>
      </c>
      <c r="B811" s="272">
        <f t="shared" si="196"/>
        <v>76.087932769694461</v>
      </c>
      <c r="C811" s="273">
        <f t="shared" si="197"/>
        <v>76.087932769694461</v>
      </c>
      <c r="D811" s="273">
        <f t="shared" si="207"/>
        <v>76.087932769694461</v>
      </c>
      <c r="E811" s="273">
        <f t="shared" si="208"/>
        <v>76.087932769694461</v>
      </c>
      <c r="F811" s="266">
        <f t="shared" si="198"/>
        <v>2</v>
      </c>
      <c r="G811" s="266">
        <f t="shared" si="199"/>
        <v>2</v>
      </c>
      <c r="H811" s="266">
        <f t="shared" si="200"/>
        <v>2</v>
      </c>
      <c r="I811" s="312">
        <f t="shared" si="201"/>
        <v>1.1397599999999999</v>
      </c>
      <c r="J811" s="312">
        <f t="shared" si="202"/>
        <v>1.4902799999999998</v>
      </c>
      <c r="K811" s="312">
        <f t="shared" si="203"/>
        <v>1.89784</v>
      </c>
      <c r="L811" s="204">
        <f t="shared" si="204"/>
        <v>10.064080799999999</v>
      </c>
      <c r="M811" s="204">
        <f t="shared" si="205"/>
        <v>13.159172399999999</v>
      </c>
      <c r="N811" s="204">
        <f t="shared" si="206"/>
        <v>16.757927200000001</v>
      </c>
    </row>
    <row r="812" spans="1:14" x14ac:dyDescent="0.25">
      <c r="A812" s="271">
        <v>14</v>
      </c>
      <c r="B812" s="272">
        <f t="shared" si="196"/>
        <v>75.732335458667649</v>
      </c>
      <c r="C812" s="273">
        <f t="shared" si="197"/>
        <v>75.732335458667649</v>
      </c>
      <c r="D812" s="273">
        <f t="shared" si="207"/>
        <v>75.732335458667649</v>
      </c>
      <c r="E812" s="273">
        <f t="shared" si="208"/>
        <v>75.732335458667649</v>
      </c>
      <c r="F812" s="266">
        <f t="shared" si="198"/>
        <v>2</v>
      </c>
      <c r="G812" s="266">
        <f t="shared" si="199"/>
        <v>2</v>
      </c>
      <c r="H812" s="266">
        <f t="shared" si="200"/>
        <v>2</v>
      </c>
      <c r="I812" s="312">
        <f t="shared" si="201"/>
        <v>1.1397599999999999</v>
      </c>
      <c r="J812" s="312">
        <f t="shared" si="202"/>
        <v>1.4902799999999998</v>
      </c>
      <c r="K812" s="312">
        <f t="shared" si="203"/>
        <v>1.89784</v>
      </c>
      <c r="L812" s="204">
        <f t="shared" si="204"/>
        <v>10.064080799999999</v>
      </c>
      <c r="M812" s="204">
        <f t="shared" si="205"/>
        <v>13.159172399999999</v>
      </c>
      <c r="N812" s="204">
        <f t="shared" si="206"/>
        <v>16.757927200000001</v>
      </c>
    </row>
    <row r="813" spans="1:14" x14ac:dyDescent="0.25">
      <c r="A813" s="271">
        <v>15</v>
      </c>
      <c r="B813" s="272">
        <f t="shared" si="196"/>
        <v>75.366070228310036</v>
      </c>
      <c r="C813" s="273">
        <f t="shared" si="197"/>
        <v>75.366070228310036</v>
      </c>
      <c r="D813" s="273">
        <f t="shared" si="207"/>
        <v>75.366070228310036</v>
      </c>
      <c r="E813" s="273">
        <f t="shared" si="208"/>
        <v>75.366070228310036</v>
      </c>
      <c r="F813" s="266">
        <f t="shared" si="198"/>
        <v>2</v>
      </c>
      <c r="G813" s="266">
        <f t="shared" si="199"/>
        <v>2</v>
      </c>
      <c r="H813" s="266">
        <f t="shared" si="200"/>
        <v>2</v>
      </c>
      <c r="I813" s="312">
        <f t="shared" si="201"/>
        <v>1.1397599999999999</v>
      </c>
      <c r="J813" s="312">
        <f t="shared" si="202"/>
        <v>1.4902799999999998</v>
      </c>
      <c r="K813" s="312">
        <f t="shared" si="203"/>
        <v>1.89784</v>
      </c>
      <c r="L813" s="204">
        <f t="shared" si="204"/>
        <v>10.064080799999999</v>
      </c>
      <c r="M813" s="204">
        <f t="shared" si="205"/>
        <v>13.159172399999999</v>
      </c>
      <c r="N813" s="204">
        <f t="shared" si="206"/>
        <v>16.757927200000001</v>
      </c>
    </row>
    <row r="814" spans="1:14" x14ac:dyDescent="0.25">
      <c r="A814" s="271">
        <v>16</v>
      </c>
      <c r="B814" s="272">
        <f t="shared" si="196"/>
        <v>75.129603556580236</v>
      </c>
      <c r="C814" s="273">
        <f t="shared" si="197"/>
        <v>75.129603556580236</v>
      </c>
      <c r="D814" s="273">
        <f t="shared" si="207"/>
        <v>75.129603556580236</v>
      </c>
      <c r="E814" s="273">
        <f t="shared" si="208"/>
        <v>75.129603556580236</v>
      </c>
      <c r="F814" s="266">
        <f t="shared" si="198"/>
        <v>2</v>
      </c>
      <c r="G814" s="266">
        <f t="shared" si="199"/>
        <v>2</v>
      </c>
      <c r="H814" s="266">
        <f t="shared" si="200"/>
        <v>2</v>
      </c>
      <c r="I814" s="312">
        <f t="shared" si="201"/>
        <v>1.1397599999999999</v>
      </c>
      <c r="J814" s="312">
        <f t="shared" si="202"/>
        <v>1.4902799999999998</v>
      </c>
      <c r="K814" s="312">
        <f t="shared" si="203"/>
        <v>1.89784</v>
      </c>
      <c r="L814" s="204">
        <f t="shared" si="204"/>
        <v>10.064080799999999</v>
      </c>
      <c r="M814" s="204">
        <f t="shared" si="205"/>
        <v>13.159172399999999</v>
      </c>
      <c r="N814" s="204">
        <f t="shared" si="206"/>
        <v>16.757927200000001</v>
      </c>
    </row>
    <row r="815" spans="1:14" x14ac:dyDescent="0.25">
      <c r="A815" s="271">
        <v>17</v>
      </c>
      <c r="B815" s="272">
        <f t="shared" si="196"/>
        <v>74.745256369159989</v>
      </c>
      <c r="C815" s="273">
        <f t="shared" si="197"/>
        <v>74.745256369159989</v>
      </c>
      <c r="D815" s="273">
        <f t="shared" si="207"/>
        <v>74.745256369159989</v>
      </c>
      <c r="E815" s="273">
        <f t="shared" si="208"/>
        <v>74.745256369159989</v>
      </c>
      <c r="F815" s="266">
        <f t="shared" si="198"/>
        <v>2</v>
      </c>
      <c r="G815" s="266">
        <f t="shared" si="199"/>
        <v>2</v>
      </c>
      <c r="H815" s="266">
        <f t="shared" si="200"/>
        <v>2</v>
      </c>
      <c r="I815" s="312">
        <f t="shared" si="201"/>
        <v>1.1397599999999999</v>
      </c>
      <c r="J815" s="312">
        <f t="shared" si="202"/>
        <v>1.4902799999999998</v>
      </c>
      <c r="K815" s="312">
        <f t="shared" si="203"/>
        <v>1.89784</v>
      </c>
      <c r="L815" s="204">
        <f t="shared" si="204"/>
        <v>10.064080799999999</v>
      </c>
      <c r="M815" s="204">
        <f t="shared" si="205"/>
        <v>13.159172399999999</v>
      </c>
      <c r="N815" s="204">
        <f t="shared" si="206"/>
        <v>16.757927200000001</v>
      </c>
    </row>
    <row r="816" spans="1:14" x14ac:dyDescent="0.25">
      <c r="A816" s="271">
        <v>18</v>
      </c>
      <c r="B816" s="272">
        <f t="shared" si="196"/>
        <v>74.349378766117155</v>
      </c>
      <c r="C816" s="273">
        <f t="shared" si="197"/>
        <v>74.349378766117155</v>
      </c>
      <c r="D816" s="273">
        <f t="shared" si="207"/>
        <v>74.349378766117155</v>
      </c>
      <c r="E816" s="273">
        <f t="shared" si="208"/>
        <v>74.349378766117155</v>
      </c>
      <c r="F816" s="266">
        <f t="shared" si="198"/>
        <v>2</v>
      </c>
      <c r="G816" s="266">
        <f t="shared" si="199"/>
        <v>2</v>
      </c>
      <c r="H816" s="266">
        <f t="shared" si="200"/>
        <v>2</v>
      </c>
      <c r="I816" s="312">
        <f t="shared" si="201"/>
        <v>1.1397599999999999</v>
      </c>
      <c r="J816" s="312">
        <f t="shared" si="202"/>
        <v>1.4902799999999998</v>
      </c>
      <c r="K816" s="312">
        <f t="shared" si="203"/>
        <v>1.89784</v>
      </c>
      <c r="L816" s="204">
        <f t="shared" si="204"/>
        <v>10.064080799999999</v>
      </c>
      <c r="M816" s="204">
        <f t="shared" si="205"/>
        <v>13.159172399999999</v>
      </c>
      <c r="N816" s="204">
        <f t="shared" si="206"/>
        <v>16.757927200000001</v>
      </c>
    </row>
    <row r="817" spans="1:14" x14ac:dyDescent="0.25">
      <c r="A817" s="271">
        <v>19</v>
      </c>
      <c r="B817" s="272">
        <f t="shared" si="196"/>
        <v>73.941624834983031</v>
      </c>
      <c r="C817" s="273">
        <f t="shared" si="197"/>
        <v>73.941624834983031</v>
      </c>
      <c r="D817" s="273">
        <f t="shared" si="207"/>
        <v>73.941624834983031</v>
      </c>
      <c r="E817" s="273">
        <f t="shared" si="208"/>
        <v>73.941624834983031</v>
      </c>
      <c r="F817" s="266">
        <f t="shared" si="198"/>
        <v>2</v>
      </c>
      <c r="G817" s="266">
        <f t="shared" si="199"/>
        <v>2</v>
      </c>
      <c r="H817" s="266">
        <f t="shared" si="200"/>
        <v>2</v>
      </c>
      <c r="I817" s="312">
        <f t="shared" si="201"/>
        <v>1.1397599999999999</v>
      </c>
      <c r="J817" s="312">
        <f t="shared" si="202"/>
        <v>1.4902799999999998</v>
      </c>
      <c r="K817" s="312">
        <f t="shared" si="203"/>
        <v>1.89784</v>
      </c>
      <c r="L817" s="204">
        <f t="shared" si="204"/>
        <v>10.064080799999999</v>
      </c>
      <c r="M817" s="204">
        <f t="shared" si="205"/>
        <v>13.159172399999999</v>
      </c>
      <c r="N817" s="204">
        <f t="shared" si="206"/>
        <v>16.757927200000001</v>
      </c>
    </row>
    <row r="818" spans="1:14" x14ac:dyDescent="0.25">
      <c r="A818" s="271">
        <v>20</v>
      </c>
      <c r="B818" s="272">
        <f t="shared" si="196"/>
        <v>73.521638285914861</v>
      </c>
      <c r="C818" s="273">
        <f t="shared" si="197"/>
        <v>73.521638285914861</v>
      </c>
      <c r="D818" s="273">
        <f t="shared" si="207"/>
        <v>73.521638285914861</v>
      </c>
      <c r="E818" s="273">
        <f t="shared" si="208"/>
        <v>73.521638285914861</v>
      </c>
      <c r="F818" s="266">
        <f t="shared" si="198"/>
        <v>2</v>
      </c>
      <c r="G818" s="266">
        <f t="shared" si="199"/>
        <v>2</v>
      </c>
      <c r="H818" s="266">
        <f t="shared" si="200"/>
        <v>2</v>
      </c>
      <c r="I818" s="312">
        <f t="shared" si="201"/>
        <v>1.1397599999999999</v>
      </c>
      <c r="J818" s="312">
        <f t="shared" si="202"/>
        <v>1.4902799999999998</v>
      </c>
      <c r="K818" s="312">
        <f t="shared" si="203"/>
        <v>1.89784</v>
      </c>
      <c r="L818" s="204">
        <f t="shared" si="204"/>
        <v>10.064080799999999</v>
      </c>
      <c r="M818" s="204">
        <f t="shared" si="205"/>
        <v>13.159172399999999</v>
      </c>
      <c r="N818" s="204">
        <f t="shared" si="206"/>
        <v>16.757927200000001</v>
      </c>
    </row>
    <row r="819" spans="1:14" x14ac:dyDescent="0.25">
      <c r="A819" s="271">
        <v>21</v>
      </c>
      <c r="B819" s="272">
        <f t="shared" si="196"/>
        <v>73.089052140374662</v>
      </c>
      <c r="C819" s="273">
        <f t="shared" si="197"/>
        <v>73.089052140374662</v>
      </c>
      <c r="D819" s="273">
        <f t="shared" si="207"/>
        <v>73.089052140374662</v>
      </c>
      <c r="E819" s="273">
        <f t="shared" si="208"/>
        <v>73.089052140374662</v>
      </c>
      <c r="F819" s="266">
        <f t="shared" si="198"/>
        <v>2</v>
      </c>
      <c r="G819" s="266">
        <f t="shared" si="199"/>
        <v>2</v>
      </c>
      <c r="H819" s="266">
        <f t="shared" si="200"/>
        <v>2</v>
      </c>
      <c r="I819" s="312">
        <f t="shared" si="201"/>
        <v>1.1397599999999999</v>
      </c>
      <c r="J819" s="312">
        <f t="shared" si="202"/>
        <v>1.4902799999999998</v>
      </c>
      <c r="K819" s="312">
        <f t="shared" si="203"/>
        <v>1.89784</v>
      </c>
      <c r="L819" s="204">
        <f t="shared" si="204"/>
        <v>10.064080799999999</v>
      </c>
      <c r="M819" s="204">
        <f t="shared" si="205"/>
        <v>13.159172399999999</v>
      </c>
      <c r="N819" s="204">
        <f t="shared" si="206"/>
        <v>16.757927200000001</v>
      </c>
    </row>
    <row r="820" spans="1:14" x14ac:dyDescent="0.25">
      <c r="A820" s="271">
        <v>22</v>
      </c>
      <c r="B820" s="272">
        <f t="shared" si="196"/>
        <v>72.643488410468265</v>
      </c>
      <c r="C820" s="273">
        <f t="shared" si="197"/>
        <v>72.643488410468265</v>
      </c>
      <c r="D820" s="273">
        <f t="shared" si="207"/>
        <v>72.643488410468265</v>
      </c>
      <c r="E820" s="273">
        <f t="shared" si="208"/>
        <v>72.643488410468265</v>
      </c>
      <c r="F820" s="266">
        <f t="shared" si="198"/>
        <v>2</v>
      </c>
      <c r="G820" s="266">
        <f t="shared" si="199"/>
        <v>2</v>
      </c>
      <c r="H820" s="266">
        <f t="shared" si="200"/>
        <v>2</v>
      </c>
      <c r="I820" s="312">
        <f t="shared" si="201"/>
        <v>1.1397599999999999</v>
      </c>
      <c r="J820" s="312">
        <f t="shared" si="202"/>
        <v>1.4902799999999998</v>
      </c>
      <c r="K820" s="312">
        <f t="shared" si="203"/>
        <v>1.89784</v>
      </c>
      <c r="L820" s="204">
        <f t="shared" si="204"/>
        <v>10.064080799999999</v>
      </c>
      <c r="M820" s="204">
        <f t="shared" si="205"/>
        <v>13.159172399999999</v>
      </c>
      <c r="N820" s="204">
        <f t="shared" si="206"/>
        <v>16.757927200000001</v>
      </c>
    </row>
    <row r="821" spans="1:14" x14ac:dyDescent="0.25">
      <c r="A821" s="271">
        <v>23</v>
      </c>
      <c r="B821" s="272">
        <f t="shared" si="196"/>
        <v>72.184557768664661</v>
      </c>
      <c r="C821" s="273">
        <f t="shared" si="197"/>
        <v>72.184557768664661</v>
      </c>
      <c r="D821" s="273">
        <f t="shared" si="207"/>
        <v>72.184557768664661</v>
      </c>
      <c r="E821" s="273">
        <f t="shared" si="208"/>
        <v>72.184557768664661</v>
      </c>
      <c r="F821" s="266">
        <f t="shared" si="198"/>
        <v>2</v>
      </c>
      <c r="G821" s="266">
        <f t="shared" si="199"/>
        <v>2</v>
      </c>
      <c r="H821" s="266">
        <f t="shared" si="200"/>
        <v>2</v>
      </c>
      <c r="I821" s="312">
        <f t="shared" si="201"/>
        <v>1.1397599999999999</v>
      </c>
      <c r="J821" s="312">
        <f t="shared" si="202"/>
        <v>1.4902799999999998</v>
      </c>
      <c r="K821" s="312">
        <f t="shared" si="203"/>
        <v>1.89784</v>
      </c>
      <c r="L821" s="204">
        <f t="shared" si="204"/>
        <v>10.064080799999999</v>
      </c>
      <c r="M821" s="204">
        <f t="shared" si="205"/>
        <v>13.159172399999999</v>
      </c>
      <c r="N821" s="204">
        <f t="shared" si="206"/>
        <v>16.757927200000001</v>
      </c>
    </row>
    <row r="822" spans="1:14" x14ac:dyDescent="0.25">
      <c r="A822" s="271">
        <v>24</v>
      </c>
      <c r="B822" s="272">
        <f t="shared" si="196"/>
        <v>71.711859207606949</v>
      </c>
      <c r="C822" s="273">
        <f t="shared" si="197"/>
        <v>71.711859207606949</v>
      </c>
      <c r="D822" s="273">
        <f t="shared" si="207"/>
        <v>71.711859207606949</v>
      </c>
      <c r="E822" s="273">
        <f t="shared" si="208"/>
        <v>71.711859207606949</v>
      </c>
      <c r="F822" s="266">
        <f t="shared" si="198"/>
        <v>2</v>
      </c>
      <c r="G822" s="266">
        <f t="shared" si="199"/>
        <v>2</v>
      </c>
      <c r="H822" s="266">
        <f t="shared" si="200"/>
        <v>2</v>
      </c>
      <c r="I822" s="312">
        <f t="shared" si="201"/>
        <v>1.1397599999999999</v>
      </c>
      <c r="J822" s="312">
        <f t="shared" si="202"/>
        <v>1.4902799999999998</v>
      </c>
      <c r="K822" s="312">
        <f t="shared" si="203"/>
        <v>1.89784</v>
      </c>
      <c r="L822" s="204">
        <f t="shared" si="204"/>
        <v>10.064080799999999</v>
      </c>
      <c r="M822" s="204">
        <f t="shared" si="205"/>
        <v>13.159172399999999</v>
      </c>
      <c r="N822" s="204">
        <f t="shared" si="206"/>
        <v>16.757927200000001</v>
      </c>
    </row>
    <row r="823" spans="1:14" x14ac:dyDescent="0.25">
      <c r="A823" s="271">
        <v>25</v>
      </c>
      <c r="B823" s="272">
        <f t="shared" si="196"/>
        <v>71.224979689717514</v>
      </c>
      <c r="C823" s="273">
        <f t="shared" si="197"/>
        <v>71.224979689717514</v>
      </c>
      <c r="D823" s="273">
        <f t="shared" si="207"/>
        <v>71.224979689717514</v>
      </c>
      <c r="E823" s="273">
        <f t="shared" si="208"/>
        <v>71.224979689717514</v>
      </c>
      <c r="F823" s="266">
        <f t="shared" si="198"/>
        <v>2</v>
      </c>
      <c r="G823" s="266">
        <f t="shared" si="199"/>
        <v>2</v>
      </c>
      <c r="H823" s="266">
        <f t="shared" si="200"/>
        <v>2</v>
      </c>
      <c r="I823" s="312">
        <f t="shared" si="201"/>
        <v>1.1397599999999999</v>
      </c>
      <c r="J823" s="312">
        <f t="shared" si="202"/>
        <v>1.4902799999999998</v>
      </c>
      <c r="K823" s="312">
        <f t="shared" si="203"/>
        <v>1.89784</v>
      </c>
      <c r="L823" s="204">
        <f t="shared" si="204"/>
        <v>10.064080799999999</v>
      </c>
      <c r="M823" s="204">
        <f t="shared" si="205"/>
        <v>13.159172399999999</v>
      </c>
      <c r="N823" s="204">
        <f t="shared" si="206"/>
        <v>16.757927200000001</v>
      </c>
    </row>
    <row r="824" spans="1:14" x14ac:dyDescent="0.25">
      <c r="A824" s="271">
        <v>26</v>
      </c>
      <c r="B824" s="272">
        <f t="shared" si="196"/>
        <v>70.908630159240829</v>
      </c>
      <c r="C824" s="273">
        <f t="shared" si="197"/>
        <v>70.908630159240829</v>
      </c>
      <c r="D824" s="273">
        <f t="shared" si="207"/>
        <v>70.908630159240829</v>
      </c>
      <c r="E824" s="273">
        <f t="shared" si="208"/>
        <v>70.908630159240829</v>
      </c>
      <c r="F824" s="266">
        <f t="shared" si="198"/>
        <v>2</v>
      </c>
      <c r="G824" s="266">
        <f t="shared" si="199"/>
        <v>2</v>
      </c>
      <c r="H824" s="266">
        <f t="shared" si="200"/>
        <v>2</v>
      </c>
      <c r="I824" s="312">
        <f t="shared" si="201"/>
        <v>1.1397599999999999</v>
      </c>
      <c r="J824" s="312">
        <f t="shared" si="202"/>
        <v>1.4902799999999998</v>
      </c>
      <c r="K824" s="312">
        <f t="shared" si="203"/>
        <v>1.89784</v>
      </c>
      <c r="L824" s="204">
        <f t="shared" si="204"/>
        <v>10.064080799999999</v>
      </c>
      <c r="M824" s="204">
        <f t="shared" si="205"/>
        <v>13.159172399999999</v>
      </c>
      <c r="N824" s="204">
        <f t="shared" si="206"/>
        <v>16.757927200000001</v>
      </c>
    </row>
    <row r="825" spans="1:14" x14ac:dyDescent="0.25">
      <c r="A825" s="271">
        <v>27</v>
      </c>
      <c r="B825" s="272">
        <f t="shared" si="196"/>
        <v>70.397653769900401</v>
      </c>
      <c r="C825" s="273">
        <f t="shared" si="197"/>
        <v>70.397653769900401</v>
      </c>
      <c r="D825" s="273">
        <f t="shared" si="207"/>
        <v>70.397653769900401</v>
      </c>
      <c r="E825" s="273">
        <f t="shared" si="208"/>
        <v>70.397653769900401</v>
      </c>
      <c r="F825" s="266">
        <f t="shared" si="198"/>
        <v>2</v>
      </c>
      <c r="G825" s="266">
        <f t="shared" si="199"/>
        <v>2</v>
      </c>
      <c r="H825" s="266">
        <f t="shared" si="200"/>
        <v>2</v>
      </c>
      <c r="I825" s="312">
        <f t="shared" si="201"/>
        <v>1.1397599999999999</v>
      </c>
      <c r="J825" s="312">
        <f t="shared" si="202"/>
        <v>1.4902799999999998</v>
      </c>
      <c r="K825" s="312">
        <f t="shared" si="203"/>
        <v>1.89784</v>
      </c>
      <c r="L825" s="204">
        <f t="shared" si="204"/>
        <v>10.064080799999999</v>
      </c>
      <c r="M825" s="204">
        <f t="shared" si="205"/>
        <v>13.159172399999999</v>
      </c>
      <c r="N825" s="204">
        <f t="shared" si="206"/>
        <v>16.757927200000001</v>
      </c>
    </row>
    <row r="826" spans="1:14" x14ac:dyDescent="0.25">
      <c r="A826" s="271">
        <v>28</v>
      </c>
      <c r="B826" s="272">
        <f t="shared" si="196"/>
        <v>69.871348088879756</v>
      </c>
      <c r="C826" s="273">
        <f t="shared" si="197"/>
        <v>69.871348088879756</v>
      </c>
      <c r="D826" s="273">
        <f t="shared" si="207"/>
        <v>69.871348088879756</v>
      </c>
      <c r="E826" s="273">
        <f t="shared" si="208"/>
        <v>69.871348088879756</v>
      </c>
      <c r="F826" s="266">
        <f t="shared" si="198"/>
        <v>2</v>
      </c>
      <c r="G826" s="266">
        <f t="shared" si="199"/>
        <v>2</v>
      </c>
      <c r="H826" s="266">
        <f t="shared" si="200"/>
        <v>2</v>
      </c>
      <c r="I826" s="312">
        <f t="shared" si="201"/>
        <v>1.1397599999999999</v>
      </c>
      <c r="J826" s="312">
        <f t="shared" si="202"/>
        <v>1.4902799999999998</v>
      </c>
      <c r="K826" s="312">
        <f t="shared" si="203"/>
        <v>1.89784</v>
      </c>
      <c r="L826" s="204">
        <f t="shared" si="204"/>
        <v>10.064080799999999</v>
      </c>
      <c r="M826" s="204">
        <f t="shared" si="205"/>
        <v>13.159172399999999</v>
      </c>
      <c r="N826" s="204">
        <f t="shared" si="206"/>
        <v>16.757927200000001</v>
      </c>
    </row>
    <row r="827" spans="1:14" x14ac:dyDescent="0.25">
      <c r="A827" s="271">
        <v>29</v>
      </c>
      <c r="B827" s="272">
        <f t="shared" si="196"/>
        <v>69.329253237428503</v>
      </c>
      <c r="C827" s="273">
        <f t="shared" si="197"/>
        <v>69.329253237428503</v>
      </c>
      <c r="D827" s="273">
        <f t="shared" si="207"/>
        <v>69.329253237428503</v>
      </c>
      <c r="E827" s="273">
        <f t="shared" si="208"/>
        <v>69.329253237428503</v>
      </c>
      <c r="F827" s="266">
        <f t="shared" si="198"/>
        <v>2</v>
      </c>
      <c r="G827" s="266">
        <f t="shared" si="199"/>
        <v>2</v>
      </c>
      <c r="H827" s="266">
        <f t="shared" si="200"/>
        <v>2</v>
      </c>
      <c r="I827" s="312">
        <f t="shared" si="201"/>
        <v>1.1397599999999999</v>
      </c>
      <c r="J827" s="312">
        <f t="shared" si="202"/>
        <v>1.4902799999999998</v>
      </c>
      <c r="K827" s="312">
        <f t="shared" si="203"/>
        <v>1.89784</v>
      </c>
      <c r="L827" s="204">
        <f t="shared" si="204"/>
        <v>10.064080799999999</v>
      </c>
      <c r="M827" s="204">
        <f t="shared" si="205"/>
        <v>13.159172399999999</v>
      </c>
      <c r="N827" s="204">
        <f t="shared" si="206"/>
        <v>16.757927200000001</v>
      </c>
    </row>
    <row r="828" spans="1:14" x14ac:dyDescent="0.25">
      <c r="A828" s="271">
        <v>30</v>
      </c>
      <c r="B828" s="272">
        <f t="shared" si="196"/>
        <v>68.770895540433713</v>
      </c>
      <c r="C828" s="273">
        <f t="shared" si="197"/>
        <v>68.770895540433713</v>
      </c>
      <c r="D828" s="273">
        <f t="shared" si="207"/>
        <v>68.770895540433713</v>
      </c>
      <c r="E828" s="273">
        <f t="shared" si="208"/>
        <v>68.770895540433713</v>
      </c>
      <c r="F828" s="266">
        <f t="shared" si="198"/>
        <v>2</v>
      </c>
      <c r="G828" s="266">
        <f t="shared" si="199"/>
        <v>2</v>
      </c>
      <c r="H828" s="266">
        <f t="shared" si="200"/>
        <v>2</v>
      </c>
      <c r="I828" s="312">
        <f t="shared" si="201"/>
        <v>1.1397599999999999</v>
      </c>
      <c r="J828" s="312">
        <f t="shared" si="202"/>
        <v>1.4902799999999998</v>
      </c>
      <c r="K828" s="312">
        <f t="shared" si="203"/>
        <v>1.89784</v>
      </c>
      <c r="L828" s="204">
        <f t="shared" si="204"/>
        <v>10.064080799999999</v>
      </c>
      <c r="M828" s="204">
        <f t="shared" si="205"/>
        <v>13.159172399999999</v>
      </c>
      <c r="N828" s="204">
        <f t="shared" si="206"/>
        <v>16.757927200000001</v>
      </c>
    </row>
    <row r="829" spans="1:14" x14ac:dyDescent="0.25">
      <c r="A829" s="271">
        <v>31</v>
      </c>
      <c r="B829" s="272">
        <f t="shared" si="196"/>
        <v>68.195787112529075</v>
      </c>
      <c r="C829" s="273">
        <f t="shared" si="197"/>
        <v>68.195787112529075</v>
      </c>
      <c r="D829" s="273">
        <f>C829</f>
        <v>68.195787112529075</v>
      </c>
      <c r="E829" s="273">
        <f>D829</f>
        <v>68.195787112529075</v>
      </c>
      <c r="F829" s="266">
        <f t="shared" si="198"/>
        <v>2</v>
      </c>
      <c r="G829" s="266">
        <f t="shared" si="199"/>
        <v>2</v>
      </c>
      <c r="H829" s="266">
        <f t="shared" si="200"/>
        <v>2</v>
      </c>
      <c r="I829" s="312">
        <f>0.000095*(F829)^3-0.002*(F829)^2+0.057*(F829)+1.033</f>
        <v>1.1397599999999999</v>
      </c>
      <c r="J829" s="312">
        <f>0.000035*(G829)^3-0.001*(G829)^2+0.057*(G829)+1.38</f>
        <v>1.4902799999999998</v>
      </c>
      <c r="K829" s="312">
        <f>0.00003*(H829)^3-0.0006*(H829)^2+0.055*(H829)+1.79</f>
        <v>1.89784</v>
      </c>
      <c r="L829" s="204">
        <f t="shared" ref="L829:N830" si="209">$B$795*I829</f>
        <v>10.064080799999999</v>
      </c>
      <c r="M829" s="204">
        <f t="shared" si="209"/>
        <v>13.159172399999999</v>
      </c>
      <c r="N829" s="204">
        <f t="shared" si="209"/>
        <v>16.757927200000001</v>
      </c>
    </row>
    <row r="830" spans="1:14" x14ac:dyDescent="0.25">
      <c r="A830" s="271">
        <v>32</v>
      </c>
      <c r="B830" s="272">
        <f t="shared" si="196"/>
        <v>67.603425431787315</v>
      </c>
      <c r="C830" s="273">
        <f t="shared" si="197"/>
        <v>67.603425431787315</v>
      </c>
      <c r="D830" s="273">
        <f>C830</f>
        <v>67.603425431787315</v>
      </c>
      <c r="E830" s="273">
        <f>D830</f>
        <v>67.603425431787315</v>
      </c>
      <c r="F830" s="266">
        <f t="shared" si="198"/>
        <v>2</v>
      </c>
      <c r="G830" s="266">
        <f t="shared" si="199"/>
        <v>2</v>
      </c>
      <c r="H830" s="266">
        <f t="shared" si="200"/>
        <v>2</v>
      </c>
      <c r="I830" s="312">
        <f>0.000095*(F830)^3-0.002*(F830)^2+0.057*(F830)+1.033</f>
        <v>1.1397599999999999</v>
      </c>
      <c r="J830" s="312">
        <f>0.000035*(G830)^3-0.001*(G830)^2+0.057*(G830)+1.38</f>
        <v>1.4902799999999998</v>
      </c>
      <c r="K830" s="312">
        <f>0.00003*(H830)^3-0.0006*(H830)^2+0.055*(H830)+1.79</f>
        <v>1.89784</v>
      </c>
      <c r="L830" s="204">
        <f t="shared" si="209"/>
        <v>10.064080799999999</v>
      </c>
      <c r="M830" s="204">
        <f t="shared" si="209"/>
        <v>13.159172399999999</v>
      </c>
      <c r="N830" s="204">
        <f t="shared" si="209"/>
        <v>16.757927200000001</v>
      </c>
    </row>
    <row r="831" spans="1:14" x14ac:dyDescent="0.25">
      <c r="A831" s="239" t="s">
        <v>44</v>
      </c>
      <c r="B831" s="239"/>
      <c r="C831" s="19"/>
    </row>
    <row r="832" spans="1:14" x14ac:dyDescent="0.25">
      <c r="A832" t="s">
        <v>276</v>
      </c>
      <c r="C832" t="s">
        <v>259</v>
      </c>
    </row>
    <row r="833" spans="1:14" x14ac:dyDescent="0.25">
      <c r="A833" s="43" t="s">
        <v>228</v>
      </c>
      <c r="B833" s="43">
        <f>B795</f>
        <v>8.83</v>
      </c>
    </row>
    <row r="834" spans="1:14" x14ac:dyDescent="0.25">
      <c r="A834" s="43" t="s">
        <v>99</v>
      </c>
      <c r="B834" s="169" t="str">
        <f>B758</f>
        <v>P</v>
      </c>
      <c r="C834" s="575" t="s">
        <v>229</v>
      </c>
      <c r="D834" s="575"/>
      <c r="E834" s="575"/>
      <c r="F834" s="575" t="s">
        <v>230</v>
      </c>
      <c r="G834" s="576"/>
      <c r="H834" s="576"/>
      <c r="I834" s="575" t="s">
        <v>231</v>
      </c>
      <c r="J834" s="575"/>
      <c r="K834" s="575"/>
      <c r="L834" s="575" t="s">
        <v>240</v>
      </c>
      <c r="M834" s="575"/>
      <c r="N834" s="575"/>
    </row>
    <row r="835" spans="1:14" x14ac:dyDescent="0.25">
      <c r="A835" s="35" t="s">
        <v>18</v>
      </c>
      <c r="B835" s="95" t="s">
        <v>20</v>
      </c>
      <c r="C835" s="270" t="s">
        <v>233</v>
      </c>
      <c r="D835" s="270" t="s">
        <v>234</v>
      </c>
      <c r="E835" s="270" t="s">
        <v>235</v>
      </c>
      <c r="F835" s="270" t="s">
        <v>233</v>
      </c>
      <c r="G835" s="270" t="s">
        <v>234</v>
      </c>
      <c r="H835" s="270" t="s">
        <v>235</v>
      </c>
      <c r="I835" s="270" t="s">
        <v>233</v>
      </c>
      <c r="J835" s="270" t="s">
        <v>234</v>
      </c>
      <c r="K835" s="270" t="s">
        <v>235</v>
      </c>
      <c r="L835" s="270" t="s">
        <v>233</v>
      </c>
      <c r="M835" s="270" t="s">
        <v>234</v>
      </c>
      <c r="N835" s="270" t="s">
        <v>235</v>
      </c>
    </row>
    <row r="836" spans="1:14" x14ac:dyDescent="0.25">
      <c r="A836" s="271">
        <v>0</v>
      </c>
      <c r="B836" s="272">
        <f>B96*$G$749</f>
        <v>61.17647058823529</v>
      </c>
      <c r="C836" s="273">
        <f>B836</f>
        <v>61.17647058823529</v>
      </c>
      <c r="D836" s="273">
        <f>C836</f>
        <v>61.17647058823529</v>
      </c>
      <c r="E836" s="273">
        <f>D836</f>
        <v>61.17647058823529</v>
      </c>
      <c r="F836" s="266">
        <f>IF(C836&gt;$B$742,2,IF(C836&gt;$B$743,3,IF(C836&gt;$B$744,4,IF(C836&gt;$B$745,5,IF(C836&gt;$B$746,6,IF(C836&gt;$B$747,7,IF(C836&gt;$B$748,8,IF(C836&gt;$B$749,9,IF(C836&gt;$B$750,10,IF(C836&gt;$B$751,11,IF(C836&gt;$B$752,12,12)))))))))))</f>
        <v>5</v>
      </c>
      <c r="G836" s="266">
        <f>IF(D836&gt;$C$742,2,IF(D836&gt;$C$743,3,IF(D836&gt;$C$744,4,IF(D836&gt;$C$745,5,IF(D836&gt;$C$746,6,IF(D836&gt;$C$747,7,IF(D836&gt;$C$748,8,IF(D836&gt;$C$749,9,IF(D836&gt;$C$750,10,IF(D836&gt;$C$751,11,IF(D836&gt;$C$752,12,12)))))))))))</f>
        <v>2</v>
      </c>
      <c r="H836" s="266">
        <f>IF(E836&gt;$D$742,2,IF(E836&gt;$D$743,3,IF(E836&gt;$D$744,4,IF(E836&gt;$D$745,5,IF(E836&gt;$D$746,6,IF(E836&gt;$D$747,7,IF(E836&gt;$D$748,8,IF(E836&gt;$D$749,9,IF(E836&gt;$D$750,10,IF(E836&gt;$D$751,11,IF(E836&gt;$D$752,12,12)))))))))))</f>
        <v>2</v>
      </c>
      <c r="I836" s="312">
        <f>0.000095*(F836)^3-0.002*(F836)^2+0.057*(F836)+1.033</f>
        <v>1.2798749999999999</v>
      </c>
      <c r="J836" s="312">
        <f>0.000035*(G836)^3-0.001*(G836)^2+0.057*(G836)+1.38</f>
        <v>1.4902799999999998</v>
      </c>
      <c r="K836" s="312">
        <f>0.00003*(H836)^3-0.0006*(H836)^2+0.055*(H836)+1.79</f>
        <v>1.89784</v>
      </c>
      <c r="L836" s="204">
        <f>$B$833*I836</f>
        <v>11.301296249999998</v>
      </c>
      <c r="M836" s="204">
        <f>$B$833*J836</f>
        <v>13.159172399999999</v>
      </c>
      <c r="N836" s="204">
        <f>$B$833*K836</f>
        <v>16.757927200000001</v>
      </c>
    </row>
    <row r="837" spans="1:14" x14ac:dyDescent="0.25">
      <c r="A837" s="271">
        <v>1</v>
      </c>
      <c r="B837" s="272">
        <f t="shared" ref="B837:B868" si="210">B97*$G$749</f>
        <v>61.17647058823529</v>
      </c>
      <c r="C837" s="273">
        <f t="shared" ref="C837:C868" si="211">B837</f>
        <v>61.17647058823529</v>
      </c>
      <c r="D837" s="311">
        <f>C837</f>
        <v>61.17647058823529</v>
      </c>
      <c r="E837" s="311">
        <f>D837</f>
        <v>61.17647058823529</v>
      </c>
      <c r="F837" s="266">
        <f t="shared" ref="F837:F868" si="212">IF(C837&gt;$B$742,2,IF(C837&gt;$B$743,3,IF(C837&gt;$B$744,4,IF(C837&gt;$B$745,5,IF(C837&gt;$B$746,6,IF(C837&gt;$B$747,7,IF(C837&gt;$B$748,8,IF(C837&gt;$B$749,9,IF(C837&gt;$B$750,10,IF(C837&gt;$B$751,11,IF(C837&gt;$B$752,12,12)))))))))))</f>
        <v>5</v>
      </c>
      <c r="G837" s="266">
        <f t="shared" ref="G837:G868" si="213">IF(D837&gt;$C$742,2,IF(D837&gt;$C$743,3,IF(D837&gt;$C$744,4,IF(D837&gt;$C$745,5,IF(D837&gt;$C$746,6,IF(D837&gt;$C$747,7,IF(D837&gt;$C$748,8,IF(D837&gt;$C$749,9,IF(D837&gt;$C$750,10,IF(D837&gt;$C$751,11,IF(D837&gt;$C$752,12,12)))))))))))</f>
        <v>2</v>
      </c>
      <c r="H837" s="266">
        <f t="shared" ref="H837:H868" si="214">IF(E837&gt;$D$742,2,IF(E837&gt;$D$743,3,IF(E837&gt;$D$744,4,IF(E837&gt;$D$745,5,IF(E837&gt;$D$746,6,IF(E837&gt;$D$747,7,IF(E837&gt;$D$748,8,IF(E837&gt;$D$749,9,IF(E837&gt;$D$750,10,IF(E837&gt;$D$751,11,IF(E837&gt;$D$752,12,12)))))))))))</f>
        <v>2</v>
      </c>
      <c r="I837" s="312">
        <f t="shared" ref="I837:I866" si="215">0.000095*(F837)^3-0.002*(F837)^2+0.057*(F837)+1.033</f>
        <v>1.2798749999999999</v>
      </c>
      <c r="J837" s="312">
        <f t="shared" ref="J837:J866" si="216">0.000035*(G837)^3-0.001*(G837)^2+0.057*(G837)+1.38</f>
        <v>1.4902799999999998</v>
      </c>
      <c r="K837" s="312">
        <f t="shared" ref="K837:K866" si="217">0.00003*(H837)^3-0.0006*(H837)^2+0.055*(H837)+1.79</f>
        <v>1.89784</v>
      </c>
      <c r="L837" s="204">
        <f t="shared" ref="L837:L866" si="218">$B$833*I837</f>
        <v>11.301296249999998</v>
      </c>
      <c r="M837" s="204">
        <f t="shared" ref="M837:M866" si="219">$B$833*J837</f>
        <v>13.159172399999999</v>
      </c>
      <c r="N837" s="204">
        <f t="shared" ref="N837:N866" si="220">$B$833*K837</f>
        <v>16.757927200000001</v>
      </c>
    </row>
    <row r="838" spans="1:14" x14ac:dyDescent="0.25">
      <c r="A838" s="271">
        <v>2</v>
      </c>
      <c r="B838" s="272">
        <f t="shared" si="210"/>
        <v>61.17647058823529</v>
      </c>
      <c r="C838" s="273">
        <f t="shared" si="211"/>
        <v>61.17647058823529</v>
      </c>
      <c r="D838" s="273">
        <f>C838</f>
        <v>61.17647058823529</v>
      </c>
      <c r="E838" s="273">
        <f>D838</f>
        <v>61.17647058823529</v>
      </c>
      <c r="F838" s="266">
        <f t="shared" si="212"/>
        <v>5</v>
      </c>
      <c r="G838" s="266">
        <f t="shared" si="213"/>
        <v>2</v>
      </c>
      <c r="H838" s="266">
        <f t="shared" si="214"/>
        <v>2</v>
      </c>
      <c r="I838" s="312">
        <f t="shared" si="215"/>
        <v>1.2798749999999999</v>
      </c>
      <c r="J838" s="312">
        <f t="shared" si="216"/>
        <v>1.4902799999999998</v>
      </c>
      <c r="K838" s="312">
        <f t="shared" si="217"/>
        <v>1.89784</v>
      </c>
      <c r="L838" s="204">
        <f t="shared" si="218"/>
        <v>11.301296249999998</v>
      </c>
      <c r="M838" s="204">
        <f t="shared" si="219"/>
        <v>13.159172399999999</v>
      </c>
      <c r="N838" s="204">
        <f t="shared" si="220"/>
        <v>16.757927200000001</v>
      </c>
    </row>
    <row r="839" spans="1:14" x14ac:dyDescent="0.25">
      <c r="A839" s="271">
        <v>3</v>
      </c>
      <c r="B839" s="272">
        <f t="shared" si="210"/>
        <v>61.17647058823529</v>
      </c>
      <c r="C839" s="273">
        <f t="shared" si="211"/>
        <v>61.17647058823529</v>
      </c>
      <c r="D839" s="273">
        <f t="shared" ref="D839:D866" si="221">C839</f>
        <v>61.17647058823529</v>
      </c>
      <c r="E839" s="273">
        <f t="shared" ref="E839:E866" si="222">D839</f>
        <v>61.17647058823529</v>
      </c>
      <c r="F839" s="266">
        <f t="shared" si="212"/>
        <v>5</v>
      </c>
      <c r="G839" s="266">
        <f t="shared" si="213"/>
        <v>2</v>
      </c>
      <c r="H839" s="266">
        <f t="shared" si="214"/>
        <v>2</v>
      </c>
      <c r="I839" s="312">
        <f t="shared" si="215"/>
        <v>1.2798749999999999</v>
      </c>
      <c r="J839" s="312">
        <f t="shared" si="216"/>
        <v>1.4902799999999998</v>
      </c>
      <c r="K839" s="312">
        <f t="shared" si="217"/>
        <v>1.89784</v>
      </c>
      <c r="L839" s="204">
        <f t="shared" si="218"/>
        <v>11.301296249999998</v>
      </c>
      <c r="M839" s="204">
        <f t="shared" si="219"/>
        <v>13.159172399999999</v>
      </c>
      <c r="N839" s="204">
        <f t="shared" si="220"/>
        <v>16.757927200000001</v>
      </c>
    </row>
    <row r="840" spans="1:14" x14ac:dyDescent="0.25">
      <c r="A840" s="271">
        <v>4</v>
      </c>
      <c r="B840" s="272">
        <f t="shared" si="210"/>
        <v>61.17647058823529</v>
      </c>
      <c r="C840" s="273">
        <f t="shared" si="211"/>
        <v>61.17647058823529</v>
      </c>
      <c r="D840" s="273">
        <f t="shared" si="221"/>
        <v>61.17647058823529</v>
      </c>
      <c r="E840" s="273">
        <f t="shared" si="222"/>
        <v>61.17647058823529</v>
      </c>
      <c r="F840" s="266">
        <f t="shared" si="212"/>
        <v>5</v>
      </c>
      <c r="G840" s="266">
        <f t="shared" si="213"/>
        <v>2</v>
      </c>
      <c r="H840" s="266">
        <f t="shared" si="214"/>
        <v>2</v>
      </c>
      <c r="I840" s="312">
        <f t="shared" si="215"/>
        <v>1.2798749999999999</v>
      </c>
      <c r="J840" s="312">
        <f t="shared" si="216"/>
        <v>1.4902799999999998</v>
      </c>
      <c r="K840" s="312">
        <f t="shared" si="217"/>
        <v>1.89784</v>
      </c>
      <c r="L840" s="204">
        <f t="shared" si="218"/>
        <v>11.301296249999998</v>
      </c>
      <c r="M840" s="204">
        <f t="shared" si="219"/>
        <v>13.159172399999999</v>
      </c>
      <c r="N840" s="204">
        <f t="shared" si="220"/>
        <v>16.757927200000001</v>
      </c>
    </row>
    <row r="841" spans="1:14" x14ac:dyDescent="0.25">
      <c r="A841" s="271">
        <v>5</v>
      </c>
      <c r="B841" s="272">
        <f t="shared" si="210"/>
        <v>61.17647058823529</v>
      </c>
      <c r="C841" s="273">
        <f t="shared" si="211"/>
        <v>61.17647058823529</v>
      </c>
      <c r="D841" s="273">
        <f t="shared" si="221"/>
        <v>61.17647058823529</v>
      </c>
      <c r="E841" s="273">
        <f t="shared" si="222"/>
        <v>61.17647058823529</v>
      </c>
      <c r="F841" s="266">
        <f t="shared" si="212"/>
        <v>5</v>
      </c>
      <c r="G841" s="266">
        <f t="shared" si="213"/>
        <v>2</v>
      </c>
      <c r="H841" s="266">
        <f t="shared" si="214"/>
        <v>2</v>
      </c>
      <c r="I841" s="312">
        <f t="shared" si="215"/>
        <v>1.2798749999999999</v>
      </c>
      <c r="J841" s="312">
        <f t="shared" si="216"/>
        <v>1.4902799999999998</v>
      </c>
      <c r="K841" s="312">
        <f t="shared" si="217"/>
        <v>1.89784</v>
      </c>
      <c r="L841" s="204">
        <f t="shared" si="218"/>
        <v>11.301296249999998</v>
      </c>
      <c r="M841" s="204">
        <f t="shared" si="219"/>
        <v>13.159172399999999</v>
      </c>
      <c r="N841" s="204">
        <f t="shared" si="220"/>
        <v>16.757927200000001</v>
      </c>
    </row>
    <row r="842" spans="1:14" x14ac:dyDescent="0.25">
      <c r="A842" s="271">
        <v>6</v>
      </c>
      <c r="B842" s="272">
        <f t="shared" si="210"/>
        <v>61.17647058823529</v>
      </c>
      <c r="C842" s="273">
        <f t="shared" si="211"/>
        <v>61.17647058823529</v>
      </c>
      <c r="D842" s="273">
        <f t="shared" si="221"/>
        <v>61.17647058823529</v>
      </c>
      <c r="E842" s="273">
        <f t="shared" si="222"/>
        <v>61.17647058823529</v>
      </c>
      <c r="F842" s="266">
        <f t="shared" si="212"/>
        <v>5</v>
      </c>
      <c r="G842" s="266">
        <f t="shared" si="213"/>
        <v>2</v>
      </c>
      <c r="H842" s="266">
        <f t="shared" si="214"/>
        <v>2</v>
      </c>
      <c r="I842" s="312">
        <f t="shared" si="215"/>
        <v>1.2798749999999999</v>
      </c>
      <c r="J842" s="312">
        <f t="shared" si="216"/>
        <v>1.4902799999999998</v>
      </c>
      <c r="K842" s="312">
        <f t="shared" si="217"/>
        <v>1.89784</v>
      </c>
      <c r="L842" s="204">
        <f t="shared" si="218"/>
        <v>11.301296249999998</v>
      </c>
      <c r="M842" s="204">
        <f t="shared" si="219"/>
        <v>13.159172399999999</v>
      </c>
      <c r="N842" s="204">
        <f t="shared" si="220"/>
        <v>16.757927200000001</v>
      </c>
    </row>
    <row r="843" spans="1:14" x14ac:dyDescent="0.25">
      <c r="A843" s="271">
        <v>7</v>
      </c>
      <c r="B843" s="272">
        <f t="shared" si="210"/>
        <v>61.17647058823529</v>
      </c>
      <c r="C843" s="273">
        <f t="shared" si="211"/>
        <v>61.17647058823529</v>
      </c>
      <c r="D843" s="273">
        <f t="shared" si="221"/>
        <v>61.17647058823529</v>
      </c>
      <c r="E843" s="273">
        <f t="shared" si="222"/>
        <v>61.17647058823529</v>
      </c>
      <c r="F843" s="266">
        <f t="shared" si="212"/>
        <v>5</v>
      </c>
      <c r="G843" s="266">
        <f t="shared" si="213"/>
        <v>2</v>
      </c>
      <c r="H843" s="266">
        <f t="shared" si="214"/>
        <v>2</v>
      </c>
      <c r="I843" s="312">
        <f t="shared" si="215"/>
        <v>1.2798749999999999</v>
      </c>
      <c r="J843" s="312">
        <f t="shared" si="216"/>
        <v>1.4902799999999998</v>
      </c>
      <c r="K843" s="312">
        <f t="shared" si="217"/>
        <v>1.89784</v>
      </c>
      <c r="L843" s="204">
        <f t="shared" si="218"/>
        <v>11.301296249999998</v>
      </c>
      <c r="M843" s="204">
        <f t="shared" si="219"/>
        <v>13.159172399999999</v>
      </c>
      <c r="N843" s="204">
        <f t="shared" si="220"/>
        <v>16.757927200000001</v>
      </c>
    </row>
    <row r="844" spans="1:14" x14ac:dyDescent="0.25">
      <c r="A844" s="271">
        <v>8</v>
      </c>
      <c r="B844" s="272">
        <f t="shared" si="210"/>
        <v>61.17647058823529</v>
      </c>
      <c r="C844" s="273">
        <f t="shared" si="211"/>
        <v>61.17647058823529</v>
      </c>
      <c r="D844" s="273">
        <f t="shared" si="221"/>
        <v>61.17647058823529</v>
      </c>
      <c r="E844" s="273">
        <f t="shared" si="222"/>
        <v>61.17647058823529</v>
      </c>
      <c r="F844" s="266">
        <f t="shared" si="212"/>
        <v>5</v>
      </c>
      <c r="G844" s="266">
        <f t="shared" si="213"/>
        <v>2</v>
      </c>
      <c r="H844" s="266">
        <f t="shared" si="214"/>
        <v>2</v>
      </c>
      <c r="I844" s="312">
        <f t="shared" si="215"/>
        <v>1.2798749999999999</v>
      </c>
      <c r="J844" s="312">
        <f t="shared" si="216"/>
        <v>1.4902799999999998</v>
      </c>
      <c r="K844" s="312">
        <f t="shared" si="217"/>
        <v>1.89784</v>
      </c>
      <c r="L844" s="204">
        <f t="shared" si="218"/>
        <v>11.301296249999998</v>
      </c>
      <c r="M844" s="204">
        <f t="shared" si="219"/>
        <v>13.159172399999999</v>
      </c>
      <c r="N844" s="204">
        <f t="shared" si="220"/>
        <v>16.757927200000001</v>
      </c>
    </row>
    <row r="845" spans="1:14" x14ac:dyDescent="0.25">
      <c r="A845" s="271">
        <v>9</v>
      </c>
      <c r="B845" s="272">
        <f t="shared" si="210"/>
        <v>61.17647058823529</v>
      </c>
      <c r="C845" s="273">
        <f t="shared" si="211"/>
        <v>61.17647058823529</v>
      </c>
      <c r="D845" s="273">
        <f t="shared" si="221"/>
        <v>61.17647058823529</v>
      </c>
      <c r="E845" s="273">
        <f t="shared" si="222"/>
        <v>61.17647058823529</v>
      </c>
      <c r="F845" s="266">
        <f t="shared" si="212"/>
        <v>5</v>
      </c>
      <c r="G845" s="266">
        <f t="shared" si="213"/>
        <v>2</v>
      </c>
      <c r="H845" s="266">
        <f t="shared" si="214"/>
        <v>2</v>
      </c>
      <c r="I845" s="312">
        <f t="shared" si="215"/>
        <v>1.2798749999999999</v>
      </c>
      <c r="J845" s="312">
        <f t="shared" si="216"/>
        <v>1.4902799999999998</v>
      </c>
      <c r="K845" s="312">
        <f t="shared" si="217"/>
        <v>1.89784</v>
      </c>
      <c r="L845" s="204">
        <f t="shared" si="218"/>
        <v>11.301296249999998</v>
      </c>
      <c r="M845" s="204">
        <f t="shared" si="219"/>
        <v>13.159172399999999</v>
      </c>
      <c r="N845" s="204">
        <f t="shared" si="220"/>
        <v>16.757927200000001</v>
      </c>
    </row>
    <row r="846" spans="1:14" x14ac:dyDescent="0.25">
      <c r="A846" s="271">
        <v>10</v>
      </c>
      <c r="B846" s="272">
        <f t="shared" si="210"/>
        <v>61.17647058823529</v>
      </c>
      <c r="C846" s="273">
        <f t="shared" si="211"/>
        <v>61.17647058823529</v>
      </c>
      <c r="D846" s="273">
        <f t="shared" si="221"/>
        <v>61.17647058823529</v>
      </c>
      <c r="E846" s="273">
        <f t="shared" si="222"/>
        <v>61.17647058823529</v>
      </c>
      <c r="F846" s="266">
        <f t="shared" si="212"/>
        <v>5</v>
      </c>
      <c r="G846" s="266">
        <f t="shared" si="213"/>
        <v>2</v>
      </c>
      <c r="H846" s="266">
        <f t="shared" si="214"/>
        <v>2</v>
      </c>
      <c r="I846" s="312">
        <f t="shared" si="215"/>
        <v>1.2798749999999999</v>
      </c>
      <c r="J846" s="312">
        <f t="shared" si="216"/>
        <v>1.4902799999999998</v>
      </c>
      <c r="K846" s="312">
        <f t="shared" si="217"/>
        <v>1.89784</v>
      </c>
      <c r="L846" s="204">
        <f t="shared" si="218"/>
        <v>11.301296249999998</v>
      </c>
      <c r="M846" s="204">
        <f t="shared" si="219"/>
        <v>13.159172399999999</v>
      </c>
      <c r="N846" s="204">
        <f t="shared" si="220"/>
        <v>16.757927200000001</v>
      </c>
    </row>
    <row r="847" spans="1:14" x14ac:dyDescent="0.25">
      <c r="A847" s="271">
        <v>11</v>
      </c>
      <c r="B847" s="272">
        <f t="shared" si="210"/>
        <v>61.17647058823529</v>
      </c>
      <c r="C847" s="273">
        <f t="shared" si="211"/>
        <v>61.17647058823529</v>
      </c>
      <c r="D847" s="273">
        <f t="shared" si="221"/>
        <v>61.17647058823529</v>
      </c>
      <c r="E847" s="273">
        <f t="shared" si="222"/>
        <v>61.17647058823529</v>
      </c>
      <c r="F847" s="266">
        <f t="shared" si="212"/>
        <v>5</v>
      </c>
      <c r="G847" s="266">
        <f t="shared" si="213"/>
        <v>2</v>
      </c>
      <c r="H847" s="266">
        <f t="shared" si="214"/>
        <v>2</v>
      </c>
      <c r="I847" s="312">
        <f t="shared" si="215"/>
        <v>1.2798749999999999</v>
      </c>
      <c r="J847" s="312">
        <f t="shared" si="216"/>
        <v>1.4902799999999998</v>
      </c>
      <c r="K847" s="312">
        <f t="shared" si="217"/>
        <v>1.89784</v>
      </c>
      <c r="L847" s="204">
        <f t="shared" si="218"/>
        <v>11.301296249999998</v>
      </c>
      <c r="M847" s="204">
        <f t="shared" si="219"/>
        <v>13.159172399999999</v>
      </c>
      <c r="N847" s="204">
        <f t="shared" si="220"/>
        <v>16.757927200000001</v>
      </c>
    </row>
    <row r="848" spans="1:14" x14ac:dyDescent="0.25">
      <c r="A848" s="271">
        <v>12</v>
      </c>
      <c r="B848" s="272">
        <f t="shared" si="210"/>
        <v>55.058823529411761</v>
      </c>
      <c r="C848" s="273">
        <f t="shared" si="211"/>
        <v>55.058823529411761</v>
      </c>
      <c r="D848" s="273">
        <f t="shared" si="221"/>
        <v>55.058823529411761</v>
      </c>
      <c r="E848" s="273">
        <f t="shared" si="222"/>
        <v>55.058823529411761</v>
      </c>
      <c r="F848" s="266">
        <f t="shared" si="212"/>
        <v>8</v>
      </c>
      <c r="G848" s="266">
        <f t="shared" si="213"/>
        <v>2</v>
      </c>
      <c r="H848" s="266">
        <f t="shared" si="214"/>
        <v>2</v>
      </c>
      <c r="I848" s="312">
        <f t="shared" si="215"/>
        <v>1.40964</v>
      </c>
      <c r="J848" s="312">
        <f t="shared" si="216"/>
        <v>1.4902799999999998</v>
      </c>
      <c r="K848" s="312">
        <f t="shared" si="217"/>
        <v>1.89784</v>
      </c>
      <c r="L848" s="204">
        <f t="shared" si="218"/>
        <v>12.4471212</v>
      </c>
      <c r="M848" s="204">
        <f t="shared" si="219"/>
        <v>13.159172399999999</v>
      </c>
      <c r="N848" s="204">
        <f t="shared" si="220"/>
        <v>16.757927200000001</v>
      </c>
    </row>
    <row r="849" spans="1:14" x14ac:dyDescent="0.25">
      <c r="A849" s="271">
        <v>13</v>
      </c>
      <c r="B849" s="272">
        <f t="shared" si="210"/>
        <v>55.058823529411761</v>
      </c>
      <c r="C849" s="273">
        <f t="shared" si="211"/>
        <v>55.058823529411761</v>
      </c>
      <c r="D849" s="273">
        <f t="shared" si="221"/>
        <v>55.058823529411761</v>
      </c>
      <c r="E849" s="273">
        <f t="shared" si="222"/>
        <v>55.058823529411761</v>
      </c>
      <c r="F849" s="266">
        <f t="shared" si="212"/>
        <v>8</v>
      </c>
      <c r="G849" s="266">
        <f t="shared" si="213"/>
        <v>2</v>
      </c>
      <c r="H849" s="266">
        <f t="shared" si="214"/>
        <v>2</v>
      </c>
      <c r="I849" s="312">
        <f t="shared" si="215"/>
        <v>1.40964</v>
      </c>
      <c r="J849" s="312">
        <f t="shared" si="216"/>
        <v>1.4902799999999998</v>
      </c>
      <c r="K849" s="312">
        <f t="shared" si="217"/>
        <v>1.89784</v>
      </c>
      <c r="L849" s="204">
        <f t="shared" si="218"/>
        <v>12.4471212</v>
      </c>
      <c r="M849" s="204">
        <f t="shared" si="219"/>
        <v>13.159172399999999</v>
      </c>
      <c r="N849" s="204">
        <f t="shared" si="220"/>
        <v>16.757927200000001</v>
      </c>
    </row>
    <row r="850" spans="1:14" x14ac:dyDescent="0.25">
      <c r="A850" s="271">
        <v>14</v>
      </c>
      <c r="B850" s="272">
        <f t="shared" si="210"/>
        <v>55.058823529411761</v>
      </c>
      <c r="C850" s="273">
        <f t="shared" si="211"/>
        <v>55.058823529411761</v>
      </c>
      <c r="D850" s="273">
        <f t="shared" si="221"/>
        <v>55.058823529411761</v>
      </c>
      <c r="E850" s="273">
        <f t="shared" si="222"/>
        <v>55.058823529411761</v>
      </c>
      <c r="F850" s="266">
        <f t="shared" si="212"/>
        <v>8</v>
      </c>
      <c r="G850" s="266">
        <f t="shared" si="213"/>
        <v>2</v>
      </c>
      <c r="H850" s="266">
        <f t="shared" si="214"/>
        <v>2</v>
      </c>
      <c r="I850" s="312">
        <f t="shared" si="215"/>
        <v>1.40964</v>
      </c>
      <c r="J850" s="312">
        <f t="shared" si="216"/>
        <v>1.4902799999999998</v>
      </c>
      <c r="K850" s="312">
        <f t="shared" si="217"/>
        <v>1.89784</v>
      </c>
      <c r="L850" s="204">
        <f t="shared" si="218"/>
        <v>12.4471212</v>
      </c>
      <c r="M850" s="204">
        <f t="shared" si="219"/>
        <v>13.159172399999999</v>
      </c>
      <c r="N850" s="204">
        <f t="shared" si="220"/>
        <v>16.757927200000001</v>
      </c>
    </row>
    <row r="851" spans="1:14" x14ac:dyDescent="0.25">
      <c r="A851" s="271">
        <v>15</v>
      </c>
      <c r="B851" s="272">
        <f t="shared" si="210"/>
        <v>55.058823529411761</v>
      </c>
      <c r="C851" s="273">
        <f t="shared" si="211"/>
        <v>55.058823529411761</v>
      </c>
      <c r="D851" s="273">
        <f t="shared" si="221"/>
        <v>55.058823529411761</v>
      </c>
      <c r="E851" s="273">
        <f t="shared" si="222"/>
        <v>55.058823529411761</v>
      </c>
      <c r="F851" s="266">
        <f t="shared" si="212"/>
        <v>8</v>
      </c>
      <c r="G851" s="266">
        <f t="shared" si="213"/>
        <v>2</v>
      </c>
      <c r="H851" s="266">
        <f t="shared" si="214"/>
        <v>2</v>
      </c>
      <c r="I851" s="312">
        <f t="shared" si="215"/>
        <v>1.40964</v>
      </c>
      <c r="J851" s="312">
        <f t="shared" si="216"/>
        <v>1.4902799999999998</v>
      </c>
      <c r="K851" s="312">
        <f t="shared" si="217"/>
        <v>1.89784</v>
      </c>
      <c r="L851" s="204">
        <f t="shared" si="218"/>
        <v>12.4471212</v>
      </c>
      <c r="M851" s="204">
        <f t="shared" si="219"/>
        <v>13.159172399999999</v>
      </c>
      <c r="N851" s="204">
        <f t="shared" si="220"/>
        <v>16.757927200000001</v>
      </c>
    </row>
    <row r="852" spans="1:14" x14ac:dyDescent="0.25">
      <c r="A852" s="271">
        <v>16</v>
      </c>
      <c r="B852" s="272">
        <f t="shared" si="210"/>
        <v>55.058823529411761</v>
      </c>
      <c r="C852" s="273">
        <f t="shared" si="211"/>
        <v>55.058823529411761</v>
      </c>
      <c r="D852" s="273">
        <f t="shared" si="221"/>
        <v>55.058823529411761</v>
      </c>
      <c r="E852" s="273">
        <f t="shared" si="222"/>
        <v>55.058823529411761</v>
      </c>
      <c r="F852" s="266">
        <f t="shared" si="212"/>
        <v>8</v>
      </c>
      <c r="G852" s="266">
        <f t="shared" si="213"/>
        <v>2</v>
      </c>
      <c r="H852" s="266">
        <f t="shared" si="214"/>
        <v>2</v>
      </c>
      <c r="I852" s="312">
        <f t="shared" si="215"/>
        <v>1.40964</v>
      </c>
      <c r="J852" s="312">
        <f t="shared" si="216"/>
        <v>1.4902799999999998</v>
      </c>
      <c r="K852" s="312">
        <f t="shared" si="217"/>
        <v>1.89784</v>
      </c>
      <c r="L852" s="204">
        <f t="shared" si="218"/>
        <v>12.4471212</v>
      </c>
      <c r="M852" s="204">
        <f t="shared" si="219"/>
        <v>13.159172399999999</v>
      </c>
      <c r="N852" s="204">
        <f t="shared" si="220"/>
        <v>16.757927200000001</v>
      </c>
    </row>
    <row r="853" spans="1:14" x14ac:dyDescent="0.25">
      <c r="A853" s="271">
        <v>17</v>
      </c>
      <c r="B853" s="272">
        <f t="shared" si="210"/>
        <v>55.058823529411761</v>
      </c>
      <c r="C853" s="273">
        <f t="shared" si="211"/>
        <v>55.058823529411761</v>
      </c>
      <c r="D853" s="273">
        <f t="shared" si="221"/>
        <v>55.058823529411761</v>
      </c>
      <c r="E853" s="273">
        <f t="shared" si="222"/>
        <v>55.058823529411761</v>
      </c>
      <c r="F853" s="266">
        <f t="shared" si="212"/>
        <v>8</v>
      </c>
      <c r="G853" s="266">
        <f t="shared" si="213"/>
        <v>2</v>
      </c>
      <c r="H853" s="266">
        <f t="shared" si="214"/>
        <v>2</v>
      </c>
      <c r="I853" s="312">
        <f t="shared" si="215"/>
        <v>1.40964</v>
      </c>
      <c r="J853" s="312">
        <f t="shared" si="216"/>
        <v>1.4902799999999998</v>
      </c>
      <c r="K853" s="312">
        <f t="shared" si="217"/>
        <v>1.89784</v>
      </c>
      <c r="L853" s="204">
        <f t="shared" si="218"/>
        <v>12.4471212</v>
      </c>
      <c r="M853" s="204">
        <f t="shared" si="219"/>
        <v>13.159172399999999</v>
      </c>
      <c r="N853" s="204">
        <f t="shared" si="220"/>
        <v>16.757927200000001</v>
      </c>
    </row>
    <row r="854" spans="1:14" x14ac:dyDescent="0.25">
      <c r="A854" s="271">
        <v>18</v>
      </c>
      <c r="B854" s="272">
        <f t="shared" si="210"/>
        <v>55.058823529411761</v>
      </c>
      <c r="C854" s="273">
        <f t="shared" si="211"/>
        <v>55.058823529411761</v>
      </c>
      <c r="D854" s="273">
        <f t="shared" si="221"/>
        <v>55.058823529411761</v>
      </c>
      <c r="E854" s="273">
        <f t="shared" si="222"/>
        <v>55.058823529411761</v>
      </c>
      <c r="F854" s="266">
        <f t="shared" si="212"/>
        <v>8</v>
      </c>
      <c r="G854" s="266">
        <f t="shared" si="213"/>
        <v>2</v>
      </c>
      <c r="H854" s="266">
        <f t="shared" si="214"/>
        <v>2</v>
      </c>
      <c r="I854" s="312">
        <f t="shared" si="215"/>
        <v>1.40964</v>
      </c>
      <c r="J854" s="312">
        <f t="shared" si="216"/>
        <v>1.4902799999999998</v>
      </c>
      <c r="K854" s="312">
        <f t="shared" si="217"/>
        <v>1.89784</v>
      </c>
      <c r="L854" s="204">
        <f t="shared" si="218"/>
        <v>12.4471212</v>
      </c>
      <c r="M854" s="204">
        <f t="shared" si="219"/>
        <v>13.159172399999999</v>
      </c>
      <c r="N854" s="204">
        <f t="shared" si="220"/>
        <v>16.757927200000001</v>
      </c>
    </row>
    <row r="855" spans="1:14" x14ac:dyDescent="0.25">
      <c r="A855" s="271">
        <v>19</v>
      </c>
      <c r="B855" s="272">
        <f t="shared" si="210"/>
        <v>55.058823529411761</v>
      </c>
      <c r="C855" s="273">
        <f t="shared" si="211"/>
        <v>55.058823529411761</v>
      </c>
      <c r="D855" s="273">
        <f t="shared" si="221"/>
        <v>55.058823529411761</v>
      </c>
      <c r="E855" s="273">
        <f t="shared" si="222"/>
        <v>55.058823529411761</v>
      </c>
      <c r="F855" s="266">
        <f t="shared" si="212"/>
        <v>8</v>
      </c>
      <c r="G855" s="266">
        <f t="shared" si="213"/>
        <v>2</v>
      </c>
      <c r="H855" s="266">
        <f t="shared" si="214"/>
        <v>2</v>
      </c>
      <c r="I855" s="312">
        <f t="shared" si="215"/>
        <v>1.40964</v>
      </c>
      <c r="J855" s="312">
        <f t="shared" si="216"/>
        <v>1.4902799999999998</v>
      </c>
      <c r="K855" s="312">
        <f t="shared" si="217"/>
        <v>1.89784</v>
      </c>
      <c r="L855" s="204">
        <f t="shared" si="218"/>
        <v>12.4471212</v>
      </c>
      <c r="M855" s="204">
        <f t="shared" si="219"/>
        <v>13.159172399999999</v>
      </c>
      <c r="N855" s="204">
        <f t="shared" si="220"/>
        <v>16.757927200000001</v>
      </c>
    </row>
    <row r="856" spans="1:14" x14ac:dyDescent="0.25">
      <c r="A856" s="271">
        <v>20</v>
      </c>
      <c r="B856" s="272">
        <f t="shared" si="210"/>
        <v>55.058823529411761</v>
      </c>
      <c r="C856" s="273">
        <f t="shared" si="211"/>
        <v>55.058823529411761</v>
      </c>
      <c r="D856" s="273">
        <f t="shared" si="221"/>
        <v>55.058823529411761</v>
      </c>
      <c r="E856" s="273">
        <f t="shared" si="222"/>
        <v>55.058823529411761</v>
      </c>
      <c r="F856" s="266">
        <f t="shared" si="212"/>
        <v>8</v>
      </c>
      <c r="G856" s="266">
        <f t="shared" si="213"/>
        <v>2</v>
      </c>
      <c r="H856" s="266">
        <f t="shared" si="214"/>
        <v>2</v>
      </c>
      <c r="I856" s="312">
        <f t="shared" si="215"/>
        <v>1.40964</v>
      </c>
      <c r="J856" s="312">
        <f t="shared" si="216"/>
        <v>1.4902799999999998</v>
      </c>
      <c r="K856" s="312">
        <f t="shared" si="217"/>
        <v>1.89784</v>
      </c>
      <c r="L856" s="204">
        <f t="shared" si="218"/>
        <v>12.4471212</v>
      </c>
      <c r="M856" s="204">
        <f t="shared" si="219"/>
        <v>13.159172399999999</v>
      </c>
      <c r="N856" s="204">
        <f t="shared" si="220"/>
        <v>16.757927200000001</v>
      </c>
    </row>
    <row r="857" spans="1:14" x14ac:dyDescent="0.25">
      <c r="A857" s="271">
        <v>21</v>
      </c>
      <c r="B857" s="272">
        <f t="shared" si="210"/>
        <v>55.058823529411761</v>
      </c>
      <c r="C857" s="273">
        <f t="shared" si="211"/>
        <v>55.058823529411761</v>
      </c>
      <c r="D857" s="273">
        <f t="shared" si="221"/>
        <v>55.058823529411761</v>
      </c>
      <c r="E857" s="273">
        <f t="shared" si="222"/>
        <v>55.058823529411761</v>
      </c>
      <c r="F857" s="266">
        <f t="shared" si="212"/>
        <v>8</v>
      </c>
      <c r="G857" s="266">
        <f t="shared" si="213"/>
        <v>2</v>
      </c>
      <c r="H857" s="266">
        <f t="shared" si="214"/>
        <v>2</v>
      </c>
      <c r="I857" s="312">
        <f t="shared" si="215"/>
        <v>1.40964</v>
      </c>
      <c r="J857" s="312">
        <f t="shared" si="216"/>
        <v>1.4902799999999998</v>
      </c>
      <c r="K857" s="312">
        <f t="shared" si="217"/>
        <v>1.89784</v>
      </c>
      <c r="L857" s="204">
        <f t="shared" si="218"/>
        <v>12.4471212</v>
      </c>
      <c r="M857" s="204">
        <f t="shared" si="219"/>
        <v>13.159172399999999</v>
      </c>
      <c r="N857" s="204">
        <f t="shared" si="220"/>
        <v>16.757927200000001</v>
      </c>
    </row>
    <row r="858" spans="1:14" x14ac:dyDescent="0.25">
      <c r="A858" s="271">
        <v>22</v>
      </c>
      <c r="B858" s="272">
        <f t="shared" si="210"/>
        <v>55.058823529411761</v>
      </c>
      <c r="C858" s="273">
        <f t="shared" si="211"/>
        <v>55.058823529411761</v>
      </c>
      <c r="D858" s="273">
        <f t="shared" si="221"/>
        <v>55.058823529411761</v>
      </c>
      <c r="E858" s="273">
        <f t="shared" si="222"/>
        <v>55.058823529411761</v>
      </c>
      <c r="F858" s="266">
        <f t="shared" si="212"/>
        <v>8</v>
      </c>
      <c r="G858" s="266">
        <f t="shared" si="213"/>
        <v>2</v>
      </c>
      <c r="H858" s="266">
        <f t="shared" si="214"/>
        <v>2</v>
      </c>
      <c r="I858" s="312">
        <f t="shared" si="215"/>
        <v>1.40964</v>
      </c>
      <c r="J858" s="312">
        <f t="shared" si="216"/>
        <v>1.4902799999999998</v>
      </c>
      <c r="K858" s="312">
        <f t="shared" si="217"/>
        <v>1.89784</v>
      </c>
      <c r="L858" s="204">
        <f t="shared" si="218"/>
        <v>12.4471212</v>
      </c>
      <c r="M858" s="204">
        <f t="shared" si="219"/>
        <v>13.159172399999999</v>
      </c>
      <c r="N858" s="204">
        <f t="shared" si="220"/>
        <v>16.757927200000001</v>
      </c>
    </row>
    <row r="859" spans="1:14" x14ac:dyDescent="0.25">
      <c r="A859" s="271">
        <v>23</v>
      </c>
      <c r="B859" s="272">
        <f t="shared" si="210"/>
        <v>55.058823529411761</v>
      </c>
      <c r="C859" s="273">
        <f t="shared" si="211"/>
        <v>55.058823529411761</v>
      </c>
      <c r="D859" s="273">
        <f t="shared" si="221"/>
        <v>55.058823529411761</v>
      </c>
      <c r="E859" s="273">
        <f t="shared" si="222"/>
        <v>55.058823529411761</v>
      </c>
      <c r="F859" s="266">
        <f t="shared" si="212"/>
        <v>8</v>
      </c>
      <c r="G859" s="266">
        <f t="shared" si="213"/>
        <v>2</v>
      </c>
      <c r="H859" s="266">
        <f t="shared" si="214"/>
        <v>2</v>
      </c>
      <c r="I859" s="312">
        <f t="shared" si="215"/>
        <v>1.40964</v>
      </c>
      <c r="J859" s="312">
        <f t="shared" si="216"/>
        <v>1.4902799999999998</v>
      </c>
      <c r="K859" s="312">
        <f t="shared" si="217"/>
        <v>1.89784</v>
      </c>
      <c r="L859" s="204">
        <f t="shared" si="218"/>
        <v>12.4471212</v>
      </c>
      <c r="M859" s="204">
        <f t="shared" si="219"/>
        <v>13.159172399999999</v>
      </c>
      <c r="N859" s="204">
        <f t="shared" si="220"/>
        <v>16.757927200000001</v>
      </c>
    </row>
    <row r="860" spans="1:14" x14ac:dyDescent="0.25">
      <c r="A860" s="271">
        <v>24</v>
      </c>
      <c r="B860" s="272">
        <f t="shared" si="210"/>
        <v>55.058823529411761</v>
      </c>
      <c r="C860" s="273">
        <f t="shared" si="211"/>
        <v>55.058823529411761</v>
      </c>
      <c r="D860" s="273">
        <f t="shared" si="221"/>
        <v>55.058823529411761</v>
      </c>
      <c r="E860" s="273">
        <f t="shared" si="222"/>
        <v>55.058823529411761</v>
      </c>
      <c r="F860" s="266">
        <f t="shared" si="212"/>
        <v>8</v>
      </c>
      <c r="G860" s="266">
        <f t="shared" si="213"/>
        <v>2</v>
      </c>
      <c r="H860" s="266">
        <f t="shared" si="214"/>
        <v>2</v>
      </c>
      <c r="I860" s="312">
        <f t="shared" si="215"/>
        <v>1.40964</v>
      </c>
      <c r="J860" s="312">
        <f t="shared" si="216"/>
        <v>1.4902799999999998</v>
      </c>
      <c r="K860" s="312">
        <f t="shared" si="217"/>
        <v>1.89784</v>
      </c>
      <c r="L860" s="204">
        <f t="shared" si="218"/>
        <v>12.4471212</v>
      </c>
      <c r="M860" s="204">
        <f t="shared" si="219"/>
        <v>13.159172399999999</v>
      </c>
      <c r="N860" s="204">
        <f t="shared" si="220"/>
        <v>16.757927200000001</v>
      </c>
    </row>
    <row r="861" spans="1:14" x14ac:dyDescent="0.25">
      <c r="A861" s="271">
        <v>25</v>
      </c>
      <c r="B861" s="272">
        <f t="shared" si="210"/>
        <v>55.058823529411761</v>
      </c>
      <c r="C861" s="273">
        <f t="shared" si="211"/>
        <v>55.058823529411761</v>
      </c>
      <c r="D861" s="273">
        <f t="shared" si="221"/>
        <v>55.058823529411761</v>
      </c>
      <c r="E861" s="273">
        <f t="shared" si="222"/>
        <v>55.058823529411761</v>
      </c>
      <c r="F861" s="266">
        <f t="shared" si="212"/>
        <v>8</v>
      </c>
      <c r="G861" s="266">
        <f t="shared" si="213"/>
        <v>2</v>
      </c>
      <c r="H861" s="266">
        <f t="shared" si="214"/>
        <v>2</v>
      </c>
      <c r="I861" s="312">
        <f t="shared" si="215"/>
        <v>1.40964</v>
      </c>
      <c r="J861" s="312">
        <f t="shared" si="216"/>
        <v>1.4902799999999998</v>
      </c>
      <c r="K861" s="312">
        <f t="shared" si="217"/>
        <v>1.89784</v>
      </c>
      <c r="L861" s="204">
        <f t="shared" si="218"/>
        <v>12.4471212</v>
      </c>
      <c r="M861" s="204">
        <f t="shared" si="219"/>
        <v>13.159172399999999</v>
      </c>
      <c r="N861" s="204">
        <f t="shared" si="220"/>
        <v>16.757927200000001</v>
      </c>
    </row>
    <row r="862" spans="1:14" x14ac:dyDescent="0.25">
      <c r="A862" s="271">
        <v>26</v>
      </c>
      <c r="B862" s="272">
        <f t="shared" si="210"/>
        <v>55.058823529411761</v>
      </c>
      <c r="C862" s="273">
        <f t="shared" si="211"/>
        <v>55.058823529411761</v>
      </c>
      <c r="D862" s="273">
        <f t="shared" si="221"/>
        <v>55.058823529411761</v>
      </c>
      <c r="E862" s="273">
        <f t="shared" si="222"/>
        <v>55.058823529411761</v>
      </c>
      <c r="F862" s="266">
        <f t="shared" si="212"/>
        <v>8</v>
      </c>
      <c r="G862" s="266">
        <f t="shared" si="213"/>
        <v>2</v>
      </c>
      <c r="H862" s="266">
        <f t="shared" si="214"/>
        <v>2</v>
      </c>
      <c r="I862" s="312">
        <f t="shared" si="215"/>
        <v>1.40964</v>
      </c>
      <c r="J862" s="312">
        <f t="shared" si="216"/>
        <v>1.4902799999999998</v>
      </c>
      <c r="K862" s="312">
        <f t="shared" si="217"/>
        <v>1.89784</v>
      </c>
      <c r="L862" s="204">
        <f t="shared" si="218"/>
        <v>12.4471212</v>
      </c>
      <c r="M862" s="204">
        <f t="shared" si="219"/>
        <v>13.159172399999999</v>
      </c>
      <c r="N862" s="204">
        <f t="shared" si="220"/>
        <v>16.757927200000001</v>
      </c>
    </row>
    <row r="863" spans="1:14" x14ac:dyDescent="0.25">
      <c r="A863" s="271">
        <v>27</v>
      </c>
      <c r="B863" s="272">
        <f t="shared" si="210"/>
        <v>55.058823529411761</v>
      </c>
      <c r="C863" s="273">
        <f t="shared" si="211"/>
        <v>55.058823529411761</v>
      </c>
      <c r="D863" s="273">
        <f t="shared" si="221"/>
        <v>55.058823529411761</v>
      </c>
      <c r="E863" s="273">
        <f t="shared" si="222"/>
        <v>55.058823529411761</v>
      </c>
      <c r="F863" s="266">
        <f t="shared" si="212"/>
        <v>8</v>
      </c>
      <c r="G863" s="266">
        <f t="shared" si="213"/>
        <v>2</v>
      </c>
      <c r="H863" s="266">
        <f t="shared" si="214"/>
        <v>2</v>
      </c>
      <c r="I863" s="312">
        <f t="shared" si="215"/>
        <v>1.40964</v>
      </c>
      <c r="J863" s="312">
        <f t="shared" si="216"/>
        <v>1.4902799999999998</v>
      </c>
      <c r="K863" s="312">
        <f t="shared" si="217"/>
        <v>1.89784</v>
      </c>
      <c r="L863" s="204">
        <f t="shared" si="218"/>
        <v>12.4471212</v>
      </c>
      <c r="M863" s="204">
        <f t="shared" si="219"/>
        <v>13.159172399999999</v>
      </c>
      <c r="N863" s="204">
        <f t="shared" si="220"/>
        <v>16.757927200000001</v>
      </c>
    </row>
    <row r="864" spans="1:14" x14ac:dyDescent="0.25">
      <c r="A864" s="271">
        <v>28</v>
      </c>
      <c r="B864" s="272">
        <f t="shared" si="210"/>
        <v>55.058823529411761</v>
      </c>
      <c r="C864" s="273">
        <f t="shared" si="211"/>
        <v>55.058823529411761</v>
      </c>
      <c r="D864" s="273">
        <f t="shared" si="221"/>
        <v>55.058823529411761</v>
      </c>
      <c r="E864" s="273">
        <f t="shared" si="222"/>
        <v>55.058823529411761</v>
      </c>
      <c r="F864" s="266">
        <f t="shared" si="212"/>
        <v>8</v>
      </c>
      <c r="G864" s="266">
        <f t="shared" si="213"/>
        <v>2</v>
      </c>
      <c r="H864" s="266">
        <f t="shared" si="214"/>
        <v>2</v>
      </c>
      <c r="I864" s="312">
        <f t="shared" si="215"/>
        <v>1.40964</v>
      </c>
      <c r="J864" s="312">
        <f t="shared" si="216"/>
        <v>1.4902799999999998</v>
      </c>
      <c r="K864" s="312">
        <f t="shared" si="217"/>
        <v>1.89784</v>
      </c>
      <c r="L864" s="204">
        <f t="shared" si="218"/>
        <v>12.4471212</v>
      </c>
      <c r="M864" s="204">
        <f t="shared" si="219"/>
        <v>13.159172399999999</v>
      </c>
      <c r="N864" s="204">
        <f t="shared" si="220"/>
        <v>16.757927200000001</v>
      </c>
    </row>
    <row r="865" spans="1:15" x14ac:dyDescent="0.25">
      <c r="A865" s="271">
        <v>29</v>
      </c>
      <c r="B865" s="272">
        <f t="shared" si="210"/>
        <v>55.058823529411761</v>
      </c>
      <c r="C865" s="273">
        <f t="shared" si="211"/>
        <v>55.058823529411761</v>
      </c>
      <c r="D865" s="273">
        <f t="shared" si="221"/>
        <v>55.058823529411761</v>
      </c>
      <c r="E865" s="273">
        <f t="shared" si="222"/>
        <v>55.058823529411761</v>
      </c>
      <c r="F865" s="266">
        <f t="shared" si="212"/>
        <v>8</v>
      </c>
      <c r="G865" s="266">
        <f t="shared" si="213"/>
        <v>2</v>
      </c>
      <c r="H865" s="266">
        <f t="shared" si="214"/>
        <v>2</v>
      </c>
      <c r="I865" s="312">
        <f t="shared" si="215"/>
        <v>1.40964</v>
      </c>
      <c r="J865" s="312">
        <f t="shared" si="216"/>
        <v>1.4902799999999998</v>
      </c>
      <c r="K865" s="312">
        <f t="shared" si="217"/>
        <v>1.89784</v>
      </c>
      <c r="L865" s="204">
        <f t="shared" si="218"/>
        <v>12.4471212</v>
      </c>
      <c r="M865" s="204">
        <f t="shared" si="219"/>
        <v>13.159172399999999</v>
      </c>
      <c r="N865" s="204">
        <f t="shared" si="220"/>
        <v>16.757927200000001</v>
      </c>
    </row>
    <row r="866" spans="1:15" x14ac:dyDescent="0.25">
      <c r="A866" s="271">
        <v>30</v>
      </c>
      <c r="B866" s="272">
        <f t="shared" si="210"/>
        <v>55.058823529411761</v>
      </c>
      <c r="C866" s="273">
        <f t="shared" si="211"/>
        <v>55.058823529411761</v>
      </c>
      <c r="D866" s="273">
        <f t="shared" si="221"/>
        <v>55.058823529411761</v>
      </c>
      <c r="E866" s="273">
        <f t="shared" si="222"/>
        <v>55.058823529411761</v>
      </c>
      <c r="F866" s="266">
        <f t="shared" si="212"/>
        <v>8</v>
      </c>
      <c r="G866" s="266">
        <f t="shared" si="213"/>
        <v>2</v>
      </c>
      <c r="H866" s="266">
        <f t="shared" si="214"/>
        <v>2</v>
      </c>
      <c r="I866" s="312">
        <f t="shared" si="215"/>
        <v>1.40964</v>
      </c>
      <c r="J866" s="312">
        <f t="shared" si="216"/>
        <v>1.4902799999999998</v>
      </c>
      <c r="K866" s="312">
        <f t="shared" si="217"/>
        <v>1.89784</v>
      </c>
      <c r="L866" s="204">
        <f t="shared" si="218"/>
        <v>12.4471212</v>
      </c>
      <c r="M866" s="204">
        <f t="shared" si="219"/>
        <v>13.159172399999999</v>
      </c>
      <c r="N866" s="204">
        <f t="shared" si="220"/>
        <v>16.757927200000001</v>
      </c>
    </row>
    <row r="867" spans="1:15" x14ac:dyDescent="0.25">
      <c r="A867" s="271">
        <v>31</v>
      </c>
      <c r="B867" s="272">
        <f t="shared" si="210"/>
        <v>55.058823529411761</v>
      </c>
      <c r="C867" s="273">
        <f t="shared" si="211"/>
        <v>55.058823529411761</v>
      </c>
      <c r="D867" s="273">
        <f>C867</f>
        <v>55.058823529411761</v>
      </c>
      <c r="E867" s="273">
        <f>D867</f>
        <v>55.058823529411761</v>
      </c>
      <c r="F867" s="266">
        <f t="shared" si="212"/>
        <v>8</v>
      </c>
      <c r="G867" s="266">
        <f t="shared" si="213"/>
        <v>2</v>
      </c>
      <c r="H867" s="266">
        <f t="shared" si="214"/>
        <v>2</v>
      </c>
      <c r="I867" s="312">
        <f>0.000095*(F867)^3-0.002*(F867)^2+0.057*(F867)+1.033</f>
        <v>1.40964</v>
      </c>
      <c r="J867" s="312">
        <f>0.000035*(G867)^3-0.001*(G867)^2+0.057*(G867)+1.38</f>
        <v>1.4902799999999998</v>
      </c>
      <c r="K867" s="312">
        <f>0.00003*(H867)^3-0.0006*(H867)^2+0.055*(H867)+1.79</f>
        <v>1.89784</v>
      </c>
      <c r="L867" s="204">
        <f t="shared" ref="L867:N868" si="223">$B$833*I867</f>
        <v>12.4471212</v>
      </c>
      <c r="M867" s="204">
        <f t="shared" si="223"/>
        <v>13.159172399999999</v>
      </c>
      <c r="N867" s="204">
        <f t="shared" si="223"/>
        <v>16.757927200000001</v>
      </c>
    </row>
    <row r="868" spans="1:15" x14ac:dyDescent="0.25">
      <c r="A868" s="271">
        <v>32</v>
      </c>
      <c r="B868" s="272">
        <f t="shared" si="210"/>
        <v>55.058823529411761</v>
      </c>
      <c r="C868" s="273">
        <f t="shared" si="211"/>
        <v>55.058823529411761</v>
      </c>
      <c r="D868" s="273">
        <f>C868</f>
        <v>55.058823529411761</v>
      </c>
      <c r="E868" s="273">
        <f>D868</f>
        <v>55.058823529411761</v>
      </c>
      <c r="F868" s="266">
        <f t="shared" si="212"/>
        <v>8</v>
      </c>
      <c r="G868" s="266">
        <f t="shared" si="213"/>
        <v>2</v>
      </c>
      <c r="H868" s="266">
        <f t="shared" si="214"/>
        <v>2</v>
      </c>
      <c r="I868" s="312">
        <f>0.000095*(F868)^3-0.002*(F868)^2+0.057*(F868)+1.033</f>
        <v>1.40964</v>
      </c>
      <c r="J868" s="312">
        <f>0.000035*(G868)^3-0.001*(G868)^2+0.057*(G868)+1.38</f>
        <v>1.4902799999999998</v>
      </c>
      <c r="K868" s="312">
        <f>0.00003*(H868)^3-0.0006*(H868)^2+0.055*(H868)+1.79</f>
        <v>1.89784</v>
      </c>
      <c r="L868" s="204">
        <f t="shared" si="223"/>
        <v>12.4471212</v>
      </c>
      <c r="M868" s="204">
        <f t="shared" si="223"/>
        <v>13.159172399999999</v>
      </c>
      <c r="N868" s="204">
        <f t="shared" si="223"/>
        <v>16.757927200000001</v>
      </c>
    </row>
    <row r="869" spans="1:15" x14ac:dyDescent="0.25">
      <c r="A869" s="239" t="s">
        <v>277</v>
      </c>
      <c r="B869" s="239"/>
      <c r="C869" s="239"/>
      <c r="D869" s="239"/>
      <c r="E869" s="239"/>
      <c r="F869" s="239"/>
      <c r="G869" s="19"/>
      <c r="I869" s="239" t="s">
        <v>278</v>
      </c>
      <c r="J869" s="239"/>
      <c r="K869" s="239"/>
      <c r="L869" s="239"/>
      <c r="M869" s="239"/>
      <c r="N869" s="239"/>
      <c r="O869" s="19"/>
    </row>
    <row r="870" spans="1:15" x14ac:dyDescent="0.25">
      <c r="A870" t="s">
        <v>243</v>
      </c>
      <c r="F870" s="239" t="s">
        <v>247</v>
      </c>
      <c r="G870" s="239">
        <f>'DATOS DE ENTRADA'!$C$7</f>
        <v>70</v>
      </c>
      <c r="I870" t="s">
        <v>243</v>
      </c>
      <c r="N870" s="239" t="s">
        <v>247</v>
      </c>
      <c r="O870" s="239">
        <f>'DATOS DE ENTRADA'!$C$23</f>
        <v>70</v>
      </c>
    </row>
    <row r="871" spans="1:15" x14ac:dyDescent="0.25">
      <c r="C871" s="569" t="s">
        <v>246</v>
      </c>
      <c r="D871" s="569"/>
      <c r="E871" s="569"/>
      <c r="K871" s="569" t="s">
        <v>246</v>
      </c>
      <c r="L871" s="569"/>
      <c r="M871" s="569"/>
    </row>
    <row r="872" spans="1:15" x14ac:dyDescent="0.25">
      <c r="A872" s="43" t="s">
        <v>18</v>
      </c>
      <c r="B872" s="43" t="s">
        <v>279</v>
      </c>
      <c r="C872" s="298" t="s">
        <v>233</v>
      </c>
      <c r="D872" s="298" t="s">
        <v>234</v>
      </c>
      <c r="E872" s="298" t="s">
        <v>235</v>
      </c>
      <c r="I872" s="43" t="s">
        <v>18</v>
      </c>
      <c r="J872" s="43" t="s">
        <v>279</v>
      </c>
      <c r="K872" s="298" t="s">
        <v>233</v>
      </c>
      <c r="L872" s="298" t="s">
        <v>234</v>
      </c>
      <c r="M872" s="298" t="s">
        <v>235</v>
      </c>
    </row>
    <row r="873" spans="1:15" x14ac:dyDescent="0.25">
      <c r="A873" s="43">
        <v>0</v>
      </c>
      <c r="B873" s="200">
        <f>'N CARRILES HCM'!$F$3</f>
        <v>90</v>
      </c>
      <c r="C873" s="95">
        <f t="shared" ref="C873:C905" si="224">B873*L760*$G$625*365</f>
        <v>24133319.070524998</v>
      </c>
      <c r="D873" s="95">
        <f t="shared" ref="D873:D905" si="225">B873*M760*$G$381*365</f>
        <v>30259516.933799997</v>
      </c>
      <c r="E873" s="95">
        <f t="shared" ref="E873:E905" si="226">B873*N760*$G$381*365</f>
        <v>38534853.596400008</v>
      </c>
      <c r="I873" s="43">
        <v>0</v>
      </c>
      <c r="J873" s="200">
        <f>'N CARRILES HCM'!$F$40</f>
        <v>90</v>
      </c>
      <c r="K873" s="95">
        <f t="shared" ref="K873:K905" si="227">J873*L798*365*$O$381</f>
        <v>23142353.799599998</v>
      </c>
      <c r="L873" s="95">
        <f t="shared" ref="L873:L905" si="228">J873*M798*365*$O$381</f>
        <v>30259516.933799997</v>
      </c>
      <c r="M873" s="95">
        <f t="shared" ref="M873:M905" si="229">J873*N798*365*$O$381</f>
        <v>38534853.596400008</v>
      </c>
    </row>
    <row r="874" spans="1:15" x14ac:dyDescent="0.25">
      <c r="A874" s="43">
        <v>1</v>
      </c>
      <c r="B874" s="200">
        <f>'N CARRILES HCM'!F4</f>
        <v>92.7</v>
      </c>
      <c r="C874" s="95">
        <f t="shared" si="224"/>
        <v>24857318.642640743</v>
      </c>
      <c r="D874" s="95">
        <f t="shared" si="225"/>
        <v>31167302.441814002</v>
      </c>
      <c r="E874" s="95">
        <f t="shared" si="226"/>
        <v>39690899.204292007</v>
      </c>
      <c r="I874" s="43">
        <v>1</v>
      </c>
      <c r="J874" s="200">
        <f>'N CARRILES HCM'!F41</f>
        <v>92.7</v>
      </c>
      <c r="K874" s="95">
        <f t="shared" si="227"/>
        <v>23836624.413588002</v>
      </c>
      <c r="L874" s="95">
        <f t="shared" si="228"/>
        <v>31167302.441814002</v>
      </c>
      <c r="M874" s="95">
        <f t="shared" si="229"/>
        <v>39690899.204292007</v>
      </c>
    </row>
    <row r="875" spans="1:15" x14ac:dyDescent="0.25">
      <c r="A875" s="43">
        <v>2</v>
      </c>
      <c r="B875" s="200">
        <f>'N CARRILES HCM'!F5</f>
        <v>95.480999999999995</v>
      </c>
      <c r="C875" s="95">
        <f t="shared" si="224"/>
        <v>25603038.201919965</v>
      </c>
      <c r="D875" s="95">
        <f t="shared" si="225"/>
        <v>32102321.515068416</v>
      </c>
      <c r="E875" s="95">
        <f t="shared" si="226"/>
        <v>40881626.180420756</v>
      </c>
      <c r="I875" s="43">
        <v>2</v>
      </c>
      <c r="J875" s="200">
        <f>'N CARRILES HCM'!F42</f>
        <v>95.480999999999995</v>
      </c>
      <c r="K875" s="95">
        <f t="shared" si="227"/>
        <v>24551723.145995636</v>
      </c>
      <c r="L875" s="95">
        <f t="shared" si="228"/>
        <v>32102321.515068412</v>
      </c>
      <c r="M875" s="95">
        <f t="shared" si="229"/>
        <v>40881626.180420756</v>
      </c>
    </row>
    <row r="876" spans="1:15" x14ac:dyDescent="0.25">
      <c r="A876" s="43">
        <v>3</v>
      </c>
      <c r="B876" s="200">
        <f>'N CARRILES HCM'!F6</f>
        <v>98.345429999999993</v>
      </c>
      <c r="C876" s="95">
        <f t="shared" si="224"/>
        <v>26371129.347977564</v>
      </c>
      <c r="D876" s="95">
        <f t="shared" si="225"/>
        <v>33065391.160520472</v>
      </c>
      <c r="E876" s="95">
        <f t="shared" si="226"/>
        <v>42108074.965833381</v>
      </c>
      <c r="I876" s="43">
        <v>3</v>
      </c>
      <c r="J876" s="200">
        <f>'N CARRILES HCM'!F43</f>
        <v>98.345429999999993</v>
      </c>
      <c r="K876" s="95">
        <f t="shared" si="227"/>
        <v>25288274.840375505</v>
      </c>
      <c r="L876" s="95">
        <f t="shared" si="228"/>
        <v>33065391.160520472</v>
      </c>
      <c r="M876" s="95">
        <f t="shared" si="229"/>
        <v>42108074.965833381</v>
      </c>
    </row>
    <row r="877" spans="1:15" x14ac:dyDescent="0.25">
      <c r="A877" s="43">
        <v>4</v>
      </c>
      <c r="B877" s="200">
        <f>'N CARRILES HCM'!F7</f>
        <v>101.2957929</v>
      </c>
      <c r="C877" s="95">
        <f t="shared" si="224"/>
        <v>27162263.22841689</v>
      </c>
      <c r="D877" s="95">
        <f t="shared" si="225"/>
        <v>34057352.895336084</v>
      </c>
      <c r="E877" s="95">
        <f t="shared" si="226"/>
        <v>43371317.214808382</v>
      </c>
      <c r="I877" s="43">
        <v>4</v>
      </c>
      <c r="J877" s="200">
        <f>'N CARRILES HCM'!F44</f>
        <v>101.2957929</v>
      </c>
      <c r="K877" s="95">
        <f t="shared" si="227"/>
        <v>26046923.085586771</v>
      </c>
      <c r="L877" s="95">
        <f t="shared" si="228"/>
        <v>34057352.895336084</v>
      </c>
      <c r="M877" s="95">
        <f t="shared" si="229"/>
        <v>43371317.214808382</v>
      </c>
    </row>
    <row r="878" spans="1:15" x14ac:dyDescent="0.25">
      <c r="A878" s="43">
        <v>5</v>
      </c>
      <c r="B878" s="200">
        <f>'N CARRILES HCM'!F8</f>
        <v>104.33466668699998</v>
      </c>
      <c r="C878" s="95">
        <f t="shared" si="224"/>
        <v>27977131.125269398</v>
      </c>
      <c r="D878" s="95">
        <f t="shared" si="225"/>
        <v>35079073.48219616</v>
      </c>
      <c r="E878" s="95">
        <f t="shared" si="226"/>
        <v>44672456.731252633</v>
      </c>
      <c r="I878" s="43">
        <v>5</v>
      </c>
      <c r="J878" s="200">
        <f>'N CARRILES HCM'!F45</f>
        <v>104.33466668699998</v>
      </c>
      <c r="K878" s="95">
        <f t="shared" si="227"/>
        <v>26828330.778154369</v>
      </c>
      <c r="L878" s="95">
        <f t="shared" si="228"/>
        <v>35079073.48219616</v>
      </c>
      <c r="M878" s="95">
        <f t="shared" si="229"/>
        <v>44672456.731252633</v>
      </c>
    </row>
    <row r="879" spans="1:15" x14ac:dyDescent="0.25">
      <c r="A879" s="43">
        <v>6</v>
      </c>
      <c r="B879" s="200">
        <f>'N CARRILES HCM'!F9</f>
        <v>107.46470668760999</v>
      </c>
      <c r="C879" s="95">
        <f t="shared" si="224"/>
        <v>28816445.059027482</v>
      </c>
      <c r="D879" s="95">
        <f t="shared" si="225"/>
        <v>36131445.686662048</v>
      </c>
      <c r="E879" s="95">
        <f t="shared" si="226"/>
        <v>46012630.433190219</v>
      </c>
      <c r="I879" s="43">
        <v>6</v>
      </c>
      <c r="J879" s="200">
        <f>'N CARRILES HCM'!F46</f>
        <v>107.46470668760999</v>
      </c>
      <c r="K879" s="95">
        <f t="shared" si="227"/>
        <v>27633180.701499004</v>
      </c>
      <c r="L879" s="95">
        <f t="shared" si="228"/>
        <v>36131445.686662048</v>
      </c>
      <c r="M879" s="95">
        <f t="shared" si="229"/>
        <v>46012630.433190212</v>
      </c>
    </row>
    <row r="880" spans="1:15" x14ac:dyDescent="0.25">
      <c r="A880" s="43">
        <v>7</v>
      </c>
      <c r="B880" s="200">
        <f>'N CARRILES HCM'!F10</f>
        <v>110.68864788823829</v>
      </c>
      <c r="C880" s="95">
        <f t="shared" si="224"/>
        <v>29680938.410798304</v>
      </c>
      <c r="D880" s="95">
        <f t="shared" si="225"/>
        <v>37215389.057261914</v>
      </c>
      <c r="E880" s="95">
        <f t="shared" si="226"/>
        <v>47393009.346185923</v>
      </c>
      <c r="I880" s="43">
        <v>7</v>
      </c>
      <c r="J880" s="200">
        <f>'N CARRILES HCM'!F47</f>
        <v>110.68864788823829</v>
      </c>
      <c r="K880" s="95">
        <f t="shared" si="227"/>
        <v>28462176.122543979</v>
      </c>
      <c r="L880" s="95">
        <f t="shared" si="228"/>
        <v>37215389.057261907</v>
      </c>
      <c r="M880" s="95">
        <f t="shared" si="229"/>
        <v>47393009.346185923</v>
      </c>
    </row>
    <row r="881" spans="1:13" x14ac:dyDescent="0.25">
      <c r="A881" s="43">
        <v>8</v>
      </c>
      <c r="B881" s="200">
        <f>'N CARRILES HCM'!F11</f>
        <v>114.00930732488544</v>
      </c>
      <c r="C881" s="95">
        <f t="shared" si="224"/>
        <v>30571366.563122254</v>
      </c>
      <c r="D881" s="95">
        <f t="shared" si="225"/>
        <v>38331850.728979766</v>
      </c>
      <c r="E881" s="95">
        <f t="shared" si="226"/>
        <v>48814799.626571506</v>
      </c>
      <c r="I881" s="43">
        <v>8</v>
      </c>
      <c r="J881" s="200">
        <f>'N CARRILES HCM'!F48</f>
        <v>114.00930732488544</v>
      </c>
      <c r="K881" s="95">
        <f t="shared" si="227"/>
        <v>29316041.406220295</v>
      </c>
      <c r="L881" s="95">
        <f t="shared" si="228"/>
        <v>38331850.728979766</v>
      </c>
      <c r="M881" s="95">
        <f t="shared" si="229"/>
        <v>48814799.626571506</v>
      </c>
    </row>
    <row r="882" spans="1:13" x14ac:dyDescent="0.25">
      <c r="A882" s="43">
        <v>9</v>
      </c>
      <c r="B882" s="200">
        <f>'N CARRILES HCM'!F12</f>
        <v>117.429586544632</v>
      </c>
      <c r="C882" s="95">
        <f t="shared" si="224"/>
        <v>31488507.560015924</v>
      </c>
      <c r="D882" s="95">
        <f t="shared" si="225"/>
        <v>39481806.250849165</v>
      </c>
      <c r="E882" s="95">
        <f t="shared" si="226"/>
        <v>50279243.615368649</v>
      </c>
      <c r="I882" s="43">
        <v>9</v>
      </c>
      <c r="J882" s="200">
        <f>'N CARRILES HCM'!F49</f>
        <v>117.429586544632</v>
      </c>
      <c r="K882" s="95">
        <f t="shared" si="227"/>
        <v>30195522.648406904</v>
      </c>
      <c r="L882" s="95">
        <f t="shared" si="228"/>
        <v>39481806.250849165</v>
      </c>
      <c r="M882" s="95">
        <f t="shared" si="229"/>
        <v>50279243.615368642</v>
      </c>
    </row>
    <row r="883" spans="1:13" x14ac:dyDescent="0.25">
      <c r="A883" s="43">
        <v>10</v>
      </c>
      <c r="B883" s="200">
        <f>'N CARRILES HCM'!F13</f>
        <v>120.95247414097096</v>
      </c>
      <c r="C883" s="95">
        <f t="shared" si="224"/>
        <v>32433162.786816403</v>
      </c>
      <c r="D883" s="95">
        <f t="shared" si="225"/>
        <v>40666260.438374639</v>
      </c>
      <c r="E883" s="95">
        <f t="shared" si="226"/>
        <v>51787620.923829705</v>
      </c>
      <c r="I883" s="43">
        <v>10</v>
      </c>
      <c r="J883" s="200">
        <f>'N CARRILES HCM'!F50</f>
        <v>120.95247414097096</v>
      </c>
      <c r="K883" s="95">
        <f t="shared" si="227"/>
        <v>31101388.327859111</v>
      </c>
      <c r="L883" s="95">
        <f t="shared" si="228"/>
        <v>40666260.438374639</v>
      </c>
      <c r="M883" s="95">
        <f t="shared" si="229"/>
        <v>51787620.923829705</v>
      </c>
    </row>
    <row r="884" spans="1:13" x14ac:dyDescent="0.25">
      <c r="A884" s="43">
        <v>11</v>
      </c>
      <c r="B884" s="200">
        <f>'N CARRILES HCM'!F14</f>
        <v>124.58104836520009</v>
      </c>
      <c r="C884" s="95">
        <f t="shared" si="224"/>
        <v>33406157.670420889</v>
      </c>
      <c r="D884" s="95">
        <f t="shared" si="225"/>
        <v>41886248.251525871</v>
      </c>
      <c r="E884" s="95">
        <f t="shared" si="226"/>
        <v>53341249.551544592</v>
      </c>
      <c r="I884" s="43">
        <v>11</v>
      </c>
      <c r="J884" s="200">
        <f>'N CARRILES HCM'!F51</f>
        <v>124.58104836520009</v>
      </c>
      <c r="K884" s="95">
        <f t="shared" si="227"/>
        <v>32034429.977694884</v>
      </c>
      <c r="L884" s="95">
        <f t="shared" si="228"/>
        <v>41886248.251525871</v>
      </c>
      <c r="M884" s="95">
        <f t="shared" si="229"/>
        <v>53341249.551544584</v>
      </c>
    </row>
    <row r="885" spans="1:13" x14ac:dyDescent="0.25">
      <c r="A885" s="43">
        <v>12</v>
      </c>
      <c r="B885" s="200">
        <f>'N CARRILES HCM'!F15</f>
        <v>128.31847981615607</v>
      </c>
      <c r="C885" s="95">
        <f t="shared" si="224"/>
        <v>34408342.400533512</v>
      </c>
      <c r="D885" s="95">
        <f t="shared" si="225"/>
        <v>43142835.699071646</v>
      </c>
      <c r="E885" s="95">
        <f t="shared" si="226"/>
        <v>54941487.038090922</v>
      </c>
      <c r="I885" s="43">
        <v>12</v>
      </c>
      <c r="J885" s="200">
        <f>'N CARRILES HCM'!F52</f>
        <v>128.31847981615607</v>
      </c>
      <c r="K885" s="95">
        <f t="shared" si="227"/>
        <v>32995462.877025727</v>
      </c>
      <c r="L885" s="95">
        <f t="shared" si="228"/>
        <v>43142835.699071646</v>
      </c>
      <c r="M885" s="95">
        <f t="shared" si="229"/>
        <v>54941487.038090922</v>
      </c>
    </row>
    <row r="886" spans="1:13" x14ac:dyDescent="0.25">
      <c r="A886" s="43">
        <v>13</v>
      </c>
      <c r="B886" s="200">
        <f>'N CARRILES HCM'!F16</f>
        <v>132.16803421064074</v>
      </c>
      <c r="C886" s="95">
        <f t="shared" si="224"/>
        <v>35440592.672549516</v>
      </c>
      <c r="D886" s="95">
        <f t="shared" si="225"/>
        <v>44437120.77004379</v>
      </c>
      <c r="E886" s="95">
        <f t="shared" si="226"/>
        <v>56589731.649233647</v>
      </c>
      <c r="I886" s="43">
        <v>13</v>
      </c>
      <c r="J886" s="200">
        <f>'N CARRILES HCM'!F53</f>
        <v>132.16803421064074</v>
      </c>
      <c r="K886" s="95">
        <f t="shared" si="227"/>
        <v>33985326.763336495</v>
      </c>
      <c r="L886" s="95">
        <f t="shared" si="228"/>
        <v>44437120.77004379</v>
      </c>
      <c r="M886" s="95">
        <f t="shared" si="229"/>
        <v>56589731.649233639</v>
      </c>
    </row>
    <row r="887" spans="1:13" x14ac:dyDescent="0.25">
      <c r="A887" s="43">
        <v>14</v>
      </c>
      <c r="B887" s="200">
        <f>'N CARRILES HCM'!F17</f>
        <v>136.13307523696</v>
      </c>
      <c r="C887" s="95">
        <f t="shared" si="224"/>
        <v>39308169.433882624</v>
      </c>
      <c r="D887" s="95">
        <f t="shared" si="225"/>
        <v>45770234.393145114</v>
      </c>
      <c r="E887" s="95">
        <f t="shared" si="226"/>
        <v>58287423.598710664</v>
      </c>
      <c r="I887" s="43">
        <v>14</v>
      </c>
      <c r="J887" s="200">
        <f>'N CARRILES HCM'!F54</f>
        <v>136.13307523696</v>
      </c>
      <c r="K887" s="95">
        <f t="shared" si="227"/>
        <v>35004886.5662366</v>
      </c>
      <c r="L887" s="95">
        <f t="shared" si="228"/>
        <v>45770234.393145114</v>
      </c>
      <c r="M887" s="95">
        <f t="shared" si="229"/>
        <v>58287423.598710664</v>
      </c>
    </row>
    <row r="888" spans="1:13" x14ac:dyDescent="0.25">
      <c r="A888" s="43">
        <v>15</v>
      </c>
      <c r="B888" s="200">
        <f>'N CARRILES HCM'!F18</f>
        <v>140.2170674940688</v>
      </c>
      <c r="C888" s="95">
        <f t="shared" si="224"/>
        <v>40487414.516899109</v>
      </c>
      <c r="D888" s="95">
        <f t="shared" si="225"/>
        <v>47143341.424939469</v>
      </c>
      <c r="E888" s="95">
        <f t="shared" si="226"/>
        <v>60036046.306671984</v>
      </c>
      <c r="I888" s="43">
        <v>15</v>
      </c>
      <c r="J888" s="200">
        <f>'N CARRILES HCM'!F55</f>
        <v>140.2170674940688</v>
      </c>
      <c r="K888" s="95">
        <f t="shared" si="227"/>
        <v>36055033.163223699</v>
      </c>
      <c r="L888" s="95">
        <f t="shared" si="228"/>
        <v>47143341.424939469</v>
      </c>
      <c r="M888" s="95">
        <f t="shared" si="229"/>
        <v>60036046.306671984</v>
      </c>
    </row>
    <row r="889" spans="1:13" x14ac:dyDescent="0.25">
      <c r="A889" s="43">
        <v>16</v>
      </c>
      <c r="B889" s="200">
        <f>'N CARRILES HCM'!F19</f>
        <v>144.42357951889085</v>
      </c>
      <c r="C889" s="95">
        <f t="shared" si="224"/>
        <v>41702036.952406071</v>
      </c>
      <c r="D889" s="95">
        <f t="shared" si="225"/>
        <v>48557641.667687647</v>
      </c>
      <c r="E889" s="95">
        <f t="shared" si="226"/>
        <v>61837127.69587215</v>
      </c>
      <c r="I889" s="43">
        <v>16</v>
      </c>
      <c r="J889" s="200">
        <f>'N CARRILES HCM'!F56</f>
        <v>144.42357951889085</v>
      </c>
      <c r="K889" s="95">
        <f t="shared" si="227"/>
        <v>37136684.158120401</v>
      </c>
      <c r="L889" s="95">
        <f t="shared" si="228"/>
        <v>48557641.667687647</v>
      </c>
      <c r="M889" s="95">
        <f t="shared" si="229"/>
        <v>61837127.69587215</v>
      </c>
    </row>
    <row r="890" spans="1:13" x14ac:dyDescent="0.25">
      <c r="A890" s="43">
        <v>17</v>
      </c>
      <c r="B890" s="200">
        <f>'N CARRILES HCM'!F20</f>
        <v>148.75628690445757</v>
      </c>
      <c r="C890" s="95">
        <f t="shared" si="224"/>
        <v>42953098.060978249</v>
      </c>
      <c r="D890" s="95">
        <f t="shared" si="225"/>
        <v>50014370.917718269</v>
      </c>
      <c r="E890" s="95">
        <f t="shared" si="226"/>
        <v>63692241.526748307</v>
      </c>
      <c r="I890" s="43">
        <v>17</v>
      </c>
      <c r="J890" s="200">
        <f>'N CARRILES HCM'!F57</f>
        <v>148.75628690445757</v>
      </c>
      <c r="K890" s="95">
        <f t="shared" si="227"/>
        <v>38250784.682864018</v>
      </c>
      <c r="L890" s="95">
        <f t="shared" si="228"/>
        <v>50014370.917718276</v>
      </c>
      <c r="M890" s="95">
        <f t="shared" si="229"/>
        <v>63692241.5267483</v>
      </c>
    </row>
    <row r="891" spans="1:13" x14ac:dyDescent="0.25">
      <c r="A891" s="43">
        <v>18</v>
      </c>
      <c r="B891" s="200">
        <f>'N CARRILES HCM'!F21</f>
        <v>153.21897551159128</v>
      </c>
      <c r="C891" s="95">
        <f t="shared" si="224"/>
        <v>44241691.002807602</v>
      </c>
      <c r="D891" s="95">
        <f t="shared" si="225"/>
        <v>51514802.045249812</v>
      </c>
      <c r="E891" s="95">
        <f t="shared" si="226"/>
        <v>65603008.772550739</v>
      </c>
      <c r="I891" s="43">
        <v>18</v>
      </c>
      <c r="J891" s="200">
        <f>'N CARRILES HCM'!F58</f>
        <v>153.21897551159128</v>
      </c>
      <c r="K891" s="95">
        <f t="shared" si="227"/>
        <v>39398308.223349929</v>
      </c>
      <c r="L891" s="95">
        <f t="shared" si="228"/>
        <v>51514802.04524982</v>
      </c>
      <c r="M891" s="95">
        <f t="shared" si="229"/>
        <v>65603008.772550747</v>
      </c>
    </row>
    <row r="892" spans="1:13" x14ac:dyDescent="0.25">
      <c r="A892" s="43">
        <v>19</v>
      </c>
      <c r="B892" s="200">
        <f>'N CARRILES HCM'!F22</f>
        <v>157.81554477693902</v>
      </c>
      <c r="C892" s="95">
        <f t="shared" si="224"/>
        <v>45568941.732891828</v>
      </c>
      <c r="D892" s="95">
        <f t="shared" si="225"/>
        <v>53060246.10660731</v>
      </c>
      <c r="E892" s="95">
        <f t="shared" si="226"/>
        <v>67571099.035727277</v>
      </c>
      <c r="I892" s="43">
        <v>19</v>
      </c>
      <c r="J892" s="200">
        <f>'N CARRILES HCM'!F59</f>
        <v>157.81554477693902</v>
      </c>
      <c r="K892" s="95">
        <f t="shared" si="227"/>
        <v>40580257.470050424</v>
      </c>
      <c r="L892" s="95">
        <f t="shared" si="228"/>
        <v>53060246.10660731</v>
      </c>
      <c r="M892" s="95">
        <f t="shared" si="229"/>
        <v>67571099.035727277</v>
      </c>
    </row>
    <row r="893" spans="1:13" x14ac:dyDescent="0.25">
      <c r="A893" s="43">
        <v>20</v>
      </c>
      <c r="B893" s="200">
        <f>'N CARRILES HCM'!F23</f>
        <v>162.55001112024721</v>
      </c>
      <c r="C893" s="95">
        <f t="shared" si="224"/>
        <v>46936009.984878585</v>
      </c>
      <c r="D893" s="95">
        <f t="shared" si="225"/>
        <v>54652053.489805542</v>
      </c>
      <c r="E893" s="95">
        <f t="shared" si="226"/>
        <v>69598232.006799087</v>
      </c>
      <c r="I893" s="43">
        <v>20</v>
      </c>
      <c r="J893" s="200">
        <f>'N CARRILES HCM'!F60</f>
        <v>162.55001112024721</v>
      </c>
      <c r="K893" s="95">
        <f t="shared" si="227"/>
        <v>41797665.194151945</v>
      </c>
      <c r="L893" s="95">
        <f t="shared" si="228"/>
        <v>54652053.489805542</v>
      </c>
      <c r="M893" s="95">
        <f t="shared" si="229"/>
        <v>69598232.006799087</v>
      </c>
    </row>
    <row r="894" spans="1:13" x14ac:dyDescent="0.25">
      <c r="A894" s="43">
        <v>21</v>
      </c>
      <c r="B894" s="200">
        <f>'N CARRILES HCM'!F24</f>
        <v>167.42651145385457</v>
      </c>
      <c r="C894" s="95">
        <f t="shared" si="224"/>
        <v>48344090.284424923</v>
      </c>
      <c r="D894" s="95">
        <f t="shared" si="225"/>
        <v>56291615.094499685</v>
      </c>
      <c r="E894" s="95">
        <f t="shared" si="226"/>
        <v>71686178.967003033</v>
      </c>
      <c r="I894" s="43">
        <v>21</v>
      </c>
      <c r="J894" s="200">
        <f>'N CARRILES HCM'!F61</f>
        <v>167.42651145385457</v>
      </c>
      <c r="K894" s="95">
        <f t="shared" si="227"/>
        <v>43051595.149976492</v>
      </c>
      <c r="L894" s="95">
        <f t="shared" si="228"/>
        <v>56291615.094499692</v>
      </c>
      <c r="M894" s="95">
        <f t="shared" si="229"/>
        <v>71686178.967003047</v>
      </c>
    </row>
    <row r="895" spans="1:13" x14ac:dyDescent="0.25">
      <c r="A895" s="43">
        <v>22</v>
      </c>
      <c r="B895" s="200">
        <f>'N CARRILES HCM'!F25</f>
        <v>172.44930679747023</v>
      </c>
      <c r="C895" s="95">
        <f t="shared" si="224"/>
        <v>49794412.992957674</v>
      </c>
      <c r="D895" s="95">
        <f t="shared" si="225"/>
        <v>57980363.547334686</v>
      </c>
      <c r="E895" s="95">
        <f t="shared" si="226"/>
        <v>73836764.336013138</v>
      </c>
      <c r="I895" s="43">
        <v>22</v>
      </c>
      <c r="J895" s="200">
        <f>'N CARRILES HCM'!F62</f>
        <v>172.44930679747023</v>
      </c>
      <c r="K895" s="95">
        <f t="shared" si="227"/>
        <v>44343143.004475795</v>
      </c>
      <c r="L895" s="95">
        <f t="shared" si="228"/>
        <v>57980363.547334686</v>
      </c>
      <c r="M895" s="95">
        <f t="shared" si="229"/>
        <v>73836764.336013138</v>
      </c>
    </row>
    <row r="896" spans="1:13" x14ac:dyDescent="0.25">
      <c r="A896" s="43">
        <v>23</v>
      </c>
      <c r="B896" s="200">
        <f>'N CARRILES HCM'!F26</f>
        <v>177.62278600139436</v>
      </c>
      <c r="C896" s="95">
        <f t="shared" si="224"/>
        <v>51288245.382746413</v>
      </c>
      <c r="D896" s="95">
        <f t="shared" si="225"/>
        <v>59719774.453754723</v>
      </c>
      <c r="E896" s="95">
        <f t="shared" si="226"/>
        <v>76051867.266093552</v>
      </c>
      <c r="I896" s="43">
        <v>23</v>
      </c>
      <c r="J896" s="200">
        <f>'N CARRILES HCM'!F63</f>
        <v>177.62278600139436</v>
      </c>
      <c r="K896" s="95">
        <f t="shared" si="227"/>
        <v>45673437.294610061</v>
      </c>
      <c r="L896" s="95">
        <f t="shared" si="228"/>
        <v>59719774.453754723</v>
      </c>
      <c r="M896" s="95">
        <f t="shared" si="229"/>
        <v>76051867.266093552</v>
      </c>
    </row>
    <row r="897" spans="1:14" x14ac:dyDescent="0.25">
      <c r="A897" s="43">
        <v>24</v>
      </c>
      <c r="B897" s="200">
        <f>'N CARRILES HCM'!F27</f>
        <v>182.95146958143616</v>
      </c>
      <c r="C897" s="95">
        <f t="shared" si="224"/>
        <v>52826892.744228795</v>
      </c>
      <c r="D897" s="95">
        <f t="shared" si="225"/>
        <v>61511367.687367365</v>
      </c>
      <c r="E897" s="95">
        <f t="shared" si="226"/>
        <v>78333423.284076348</v>
      </c>
      <c r="I897" s="43">
        <v>24</v>
      </c>
      <c r="J897" s="200">
        <f>'N CARRILES HCM'!F64</f>
        <v>182.95146958143616</v>
      </c>
      <c r="K897" s="95">
        <f t="shared" si="227"/>
        <v>47043640.413448364</v>
      </c>
      <c r="L897" s="95">
        <f t="shared" si="228"/>
        <v>61511367.687367357</v>
      </c>
      <c r="M897" s="95">
        <f t="shared" si="229"/>
        <v>78333423.284076333</v>
      </c>
    </row>
    <row r="898" spans="1:14" x14ac:dyDescent="0.25">
      <c r="A898" s="43">
        <v>25</v>
      </c>
      <c r="B898" s="200">
        <f>'N CARRILES HCM'!F28</f>
        <v>188.44001366887923</v>
      </c>
      <c r="C898" s="95">
        <f t="shared" si="224"/>
        <v>54411699.526555657</v>
      </c>
      <c r="D898" s="95">
        <f t="shared" si="225"/>
        <v>63356708.717988387</v>
      </c>
      <c r="E898" s="95">
        <f t="shared" si="226"/>
        <v>80683425.982598633</v>
      </c>
      <c r="I898" s="43">
        <v>25</v>
      </c>
      <c r="J898" s="200">
        <f>'N CARRILES HCM'!F65</f>
        <v>188.44001366887923</v>
      </c>
      <c r="K898" s="95">
        <f t="shared" si="227"/>
        <v>48454949.62585181</v>
      </c>
      <c r="L898" s="95">
        <f t="shared" si="228"/>
        <v>63356708.717988387</v>
      </c>
      <c r="M898" s="95">
        <f t="shared" si="229"/>
        <v>80683425.982598618</v>
      </c>
    </row>
    <row r="899" spans="1:14" x14ac:dyDescent="0.25">
      <c r="A899" s="43">
        <v>26</v>
      </c>
      <c r="B899" s="200">
        <f>'N CARRILES HCM'!F29</f>
        <v>194.09321407894566</v>
      </c>
      <c r="C899" s="95">
        <f t="shared" si="224"/>
        <v>56044050.512352347</v>
      </c>
      <c r="D899" s="95">
        <f t="shared" si="225"/>
        <v>65257409.979528055</v>
      </c>
      <c r="E899" s="95">
        <f t="shared" si="226"/>
        <v>83103928.762076601</v>
      </c>
      <c r="I899" s="43">
        <v>26</v>
      </c>
      <c r="J899" s="200">
        <f>'N CARRILES HCM'!F66</f>
        <v>194.09321407894566</v>
      </c>
      <c r="K899" s="95">
        <f t="shared" si="227"/>
        <v>49908598.114627376</v>
      </c>
      <c r="L899" s="95">
        <f t="shared" si="228"/>
        <v>65257409.979528047</v>
      </c>
      <c r="M899" s="95">
        <f t="shared" si="229"/>
        <v>83103928.762076616</v>
      </c>
    </row>
    <row r="900" spans="1:14" x14ac:dyDescent="0.25">
      <c r="A900" s="43">
        <v>27</v>
      </c>
      <c r="B900" s="200">
        <f>'N CARRILES HCM'!F30</f>
        <v>199.91601050131399</v>
      </c>
      <c r="C900" s="95">
        <f t="shared" si="224"/>
        <v>57725372.027722895</v>
      </c>
      <c r="D900" s="95">
        <f t="shared" si="225"/>
        <v>67215132.27891387</v>
      </c>
      <c r="E900" s="95">
        <f t="shared" si="226"/>
        <v>85597046.624938905</v>
      </c>
      <c r="I900" s="43">
        <v>27</v>
      </c>
      <c r="J900" s="200">
        <f>'N CARRILES HCM'!F67</f>
        <v>199.91601050131399</v>
      </c>
      <c r="K900" s="95">
        <f t="shared" si="227"/>
        <v>51405856.058066189</v>
      </c>
      <c r="L900" s="95">
        <f t="shared" si="228"/>
        <v>67215132.27891387</v>
      </c>
      <c r="M900" s="95">
        <f t="shared" si="229"/>
        <v>85597046.62493889</v>
      </c>
    </row>
    <row r="901" spans="1:14" x14ac:dyDescent="0.25">
      <c r="A901" s="43">
        <v>28</v>
      </c>
      <c r="B901" s="200">
        <f>'N CARRILES HCM'!F31</f>
        <v>205.91349081635343</v>
      </c>
      <c r="C901" s="95">
        <f t="shared" si="224"/>
        <v>59457133.1885546</v>
      </c>
      <c r="D901" s="95">
        <f t="shared" si="225"/>
        <v>69231586.247281298</v>
      </c>
      <c r="E901" s="95">
        <f t="shared" si="226"/>
        <v>88164958.023687065</v>
      </c>
      <c r="I901" s="43">
        <v>28</v>
      </c>
      <c r="J901" s="200">
        <f>'N CARRILES HCM'!F68</f>
        <v>205.91349081635343</v>
      </c>
      <c r="K901" s="95">
        <f t="shared" si="227"/>
        <v>52948031.739808179</v>
      </c>
      <c r="L901" s="95">
        <f t="shared" si="228"/>
        <v>69231586.247281298</v>
      </c>
      <c r="M901" s="95">
        <f t="shared" si="229"/>
        <v>88164958.023687065</v>
      </c>
    </row>
    <row r="902" spans="1:14" x14ac:dyDescent="0.25">
      <c r="A902" s="43">
        <v>29</v>
      </c>
      <c r="B902" s="200">
        <f>'N CARRILES HCM'!F32</f>
        <v>212.090895540844</v>
      </c>
      <c r="C902" s="95">
        <f t="shared" si="224"/>
        <v>61240847.184211232</v>
      </c>
      <c r="D902" s="95">
        <f t="shared" si="225"/>
        <v>71308533.834699735</v>
      </c>
      <c r="E902" s="95">
        <f t="shared" si="226"/>
        <v>90809906.764397666</v>
      </c>
      <c r="I902" s="43">
        <v>29</v>
      </c>
      <c r="J902" s="200">
        <f>'N CARRILES HCM'!F69</f>
        <v>212.090895540844</v>
      </c>
      <c r="K902" s="95">
        <f t="shared" si="227"/>
        <v>54536472.692002416</v>
      </c>
      <c r="L902" s="95">
        <f t="shared" si="228"/>
        <v>71308533.83469972</v>
      </c>
      <c r="M902" s="95">
        <f t="shared" si="229"/>
        <v>90809906.764397666</v>
      </c>
    </row>
    <row r="903" spans="1:14" x14ac:dyDescent="0.25">
      <c r="A903" s="43">
        <v>30</v>
      </c>
      <c r="B903" s="200">
        <f>'N CARRILES HCM'!F33</f>
        <v>218.45362240706933</v>
      </c>
      <c r="C903" s="95">
        <f t="shared" si="224"/>
        <v>63078072.59973757</v>
      </c>
      <c r="D903" s="95">
        <f t="shared" si="225"/>
        <v>73447789.849740714</v>
      </c>
      <c r="E903" s="95">
        <f t="shared" si="226"/>
        <v>93534203.967329592</v>
      </c>
      <c r="I903" s="43">
        <v>30</v>
      </c>
      <c r="J903" s="200">
        <f>'N CARRILES HCM'!F70</f>
        <v>218.45362240706933</v>
      </c>
      <c r="K903" s="95">
        <f t="shared" si="227"/>
        <v>56172566.872762501</v>
      </c>
      <c r="L903" s="95">
        <f t="shared" si="228"/>
        <v>73447789.849740729</v>
      </c>
      <c r="M903" s="95">
        <f t="shared" si="229"/>
        <v>93534203.967329606</v>
      </c>
    </row>
    <row r="904" spans="1:14" x14ac:dyDescent="0.25">
      <c r="A904" s="43">
        <v>31</v>
      </c>
      <c r="B904" s="200">
        <f>'N CARRILES HCM'!F34</f>
        <v>225.00723107928144</v>
      </c>
      <c r="C904" s="95">
        <f t="shared" si="224"/>
        <v>64970414.777729698</v>
      </c>
      <c r="D904" s="95">
        <f t="shared" si="225"/>
        <v>75651223.545232952</v>
      </c>
      <c r="E904" s="95">
        <f t="shared" si="226"/>
        <v>96340230.086349502</v>
      </c>
      <c r="I904" s="43">
        <v>31</v>
      </c>
      <c r="J904" s="200">
        <f>'N CARRILES HCM'!F71</f>
        <v>225.00723107928144</v>
      </c>
      <c r="K904" s="95">
        <f t="shared" si="227"/>
        <v>57857743.87894538</v>
      </c>
      <c r="L904" s="95">
        <f t="shared" si="228"/>
        <v>75651223.545232952</v>
      </c>
      <c r="M904" s="95">
        <f t="shared" si="229"/>
        <v>96340230.086349502</v>
      </c>
    </row>
    <row r="905" spans="1:14" x14ac:dyDescent="0.25">
      <c r="A905" s="43">
        <v>32</v>
      </c>
      <c r="B905" s="200">
        <f>'N CARRILES HCM'!F35</f>
        <v>231.75744801165985</v>
      </c>
      <c r="C905" s="95">
        <f t="shared" si="224"/>
        <v>66919527.221061587</v>
      </c>
      <c r="D905" s="95">
        <f t="shared" si="225"/>
        <v>77920760.251589939</v>
      </c>
      <c r="E905" s="95">
        <f t="shared" si="226"/>
        <v>99230436.988939971</v>
      </c>
      <c r="I905" s="43">
        <v>32</v>
      </c>
      <c r="J905" s="200">
        <f>'N CARRILES HCM'!F72</f>
        <v>231.75744801165985</v>
      </c>
      <c r="K905" s="95">
        <f t="shared" si="227"/>
        <v>59593476.195313737</v>
      </c>
      <c r="L905" s="95">
        <f t="shared" si="228"/>
        <v>77920760.251589939</v>
      </c>
      <c r="M905" s="95">
        <f t="shared" si="229"/>
        <v>99230436.988939971</v>
      </c>
    </row>
    <row r="906" spans="1:14" x14ac:dyDescent="0.25">
      <c r="A906" s="239" t="s">
        <v>277</v>
      </c>
      <c r="B906" s="239"/>
      <c r="C906" s="239"/>
      <c r="D906" s="239"/>
      <c r="E906" s="239"/>
      <c r="F906" s="239"/>
      <c r="G906" s="19"/>
      <c r="J906" t="s">
        <v>280</v>
      </c>
    </row>
    <row r="907" spans="1:14" x14ac:dyDescent="0.25">
      <c r="A907" t="s">
        <v>243</v>
      </c>
      <c r="F907" s="239" t="s">
        <v>247</v>
      </c>
      <c r="G907" s="239">
        <f>$G$131</f>
        <v>70</v>
      </c>
      <c r="J907" s="569" t="s">
        <v>246</v>
      </c>
      <c r="K907" s="569"/>
      <c r="L907" s="569"/>
      <c r="M907" s="574" t="s">
        <v>250</v>
      </c>
      <c r="N907" s="574"/>
    </row>
    <row r="908" spans="1:14" x14ac:dyDescent="0.25">
      <c r="C908" s="569" t="s">
        <v>246</v>
      </c>
      <c r="D908" s="569"/>
      <c r="E908" s="569"/>
      <c r="I908" s="43" t="s">
        <v>18</v>
      </c>
      <c r="J908" s="270" t="s">
        <v>126</v>
      </c>
      <c r="K908" s="270" t="s">
        <v>90</v>
      </c>
      <c r="L908" s="270" t="s">
        <v>127</v>
      </c>
      <c r="M908" s="574"/>
      <c r="N908" s="574"/>
    </row>
    <row r="909" spans="1:14" x14ac:dyDescent="0.25">
      <c r="A909" s="43" t="s">
        <v>18</v>
      </c>
      <c r="B909" s="43" t="s">
        <v>269</v>
      </c>
      <c r="C909" s="298" t="s">
        <v>233</v>
      </c>
      <c r="D909" s="298" t="s">
        <v>234</v>
      </c>
      <c r="E909" s="298" t="s">
        <v>235</v>
      </c>
      <c r="I909" s="43">
        <v>0</v>
      </c>
      <c r="J909" s="95">
        <f>IF($B$20="P",C873,IF($B$20="L",D873,IF($B$20="M",E873)))</f>
        <v>24133319.070524998</v>
      </c>
      <c r="K909" s="95">
        <f>IF($B$57="P",K873,IF($B$57="L",L873,IF($B$57="M",M873)))</f>
        <v>23142353.799599998</v>
      </c>
      <c r="L909" s="95">
        <f>IF($B$94="P",C910,IF($B$94="L",D910,IF($B$94="M",E910)))</f>
        <v>51974661.453749992</v>
      </c>
      <c r="M909" s="299">
        <f>L909-K909-J909</f>
        <v>4698988.5836249962</v>
      </c>
      <c r="N909" s="70"/>
    </row>
    <row r="910" spans="1:14" x14ac:dyDescent="0.25">
      <c r="A910" s="43">
        <v>0</v>
      </c>
      <c r="B910" s="200">
        <f>'N CARRILES HCM'!$F$77</f>
        <v>180</v>
      </c>
      <c r="C910" s="95">
        <f>B910*365*$G$418*L836</f>
        <v>51974661.453749992</v>
      </c>
      <c r="D910" s="95">
        <f>B910*365*$G$418*M836</f>
        <v>60519033.867599994</v>
      </c>
      <c r="E910" s="95">
        <f>B910*365*$G$418*N836</f>
        <v>77069707.1928</v>
      </c>
      <c r="I910" s="43">
        <v>1</v>
      </c>
      <c r="J910" s="95">
        <f t="shared" ref="J910:J938" si="230">IF($B$20="P",C874,IF($B$20="L",D874,IF($B$20="M",E874)))</f>
        <v>24857318.642640743</v>
      </c>
      <c r="K910" s="95">
        <f t="shared" ref="K910:K939" si="231">IF($B$57="P",K874,IF($B$57="L",L874,IF($B$57="M",M874)))</f>
        <v>23836624.413588002</v>
      </c>
      <c r="L910" s="95">
        <f t="shared" ref="L910:L939" si="232">IF($B$94="P",C911,IF($B$94="L",D911,IF($B$94="M",E911)))</f>
        <v>53533901.297362491</v>
      </c>
      <c r="M910" s="300">
        <f t="shared" ref="M910:M939" si="233">L910-K910-J910</f>
        <v>4839958.2411337458</v>
      </c>
      <c r="N910" s="70"/>
    </row>
    <row r="911" spans="1:14" x14ac:dyDescent="0.25">
      <c r="A911" s="43">
        <v>1</v>
      </c>
      <c r="B911" s="200">
        <f>'N CARRILES HCM'!F78</f>
        <v>185.4</v>
      </c>
      <c r="C911" s="95">
        <f t="shared" ref="C911:C940" si="234">B911*365*$G$418*L837</f>
        <v>53533901.297362491</v>
      </c>
      <c r="D911" s="95">
        <f t="shared" ref="D911:D940" si="235">B911*365*$G$418*M837</f>
        <v>62334604.883627996</v>
      </c>
      <c r="E911" s="95">
        <f t="shared" ref="E911:E940" si="236">B911*365*$G$418*N837</f>
        <v>79381798.408583999</v>
      </c>
      <c r="I911" s="43">
        <v>2</v>
      </c>
      <c r="J911" s="95">
        <f t="shared" si="230"/>
        <v>25603038.201919965</v>
      </c>
      <c r="K911" s="95">
        <f t="shared" si="231"/>
        <v>24551723.145995636</v>
      </c>
      <c r="L911" s="95">
        <f t="shared" si="232"/>
        <v>55139918.336283363</v>
      </c>
      <c r="M911" s="300">
        <f t="shared" si="233"/>
        <v>4985156.9883677624</v>
      </c>
      <c r="N911" s="70"/>
    </row>
    <row r="912" spans="1:14" x14ac:dyDescent="0.25">
      <c r="A912" s="43">
        <v>2</v>
      </c>
      <c r="B912" s="200">
        <f>'N CARRILES HCM'!F79</f>
        <v>190.96199999999999</v>
      </c>
      <c r="C912" s="95">
        <f t="shared" si="234"/>
        <v>55139918.336283363</v>
      </c>
      <c r="D912" s="95">
        <f t="shared" si="235"/>
        <v>64204643.030136831</v>
      </c>
      <c r="E912" s="95">
        <f t="shared" si="236"/>
        <v>81763252.360841513</v>
      </c>
      <c r="I912" s="43">
        <v>3</v>
      </c>
      <c r="J912" s="95">
        <f t="shared" si="230"/>
        <v>26371129.347977564</v>
      </c>
      <c r="K912" s="95">
        <f t="shared" si="231"/>
        <v>25288274.840375505</v>
      </c>
      <c r="L912" s="95">
        <f t="shared" si="232"/>
        <v>56794115.886371873</v>
      </c>
      <c r="M912" s="300">
        <f t="shared" si="233"/>
        <v>5134711.6980188042</v>
      </c>
      <c r="N912" s="70"/>
    </row>
    <row r="913" spans="1:14" x14ac:dyDescent="0.25">
      <c r="A913" s="43">
        <v>3</v>
      </c>
      <c r="B913" s="200">
        <f>'N CARRILES HCM'!F80</f>
        <v>196.69085999999999</v>
      </c>
      <c r="C913" s="95">
        <f t="shared" si="234"/>
        <v>56794115.886371873</v>
      </c>
      <c r="D913" s="95">
        <f t="shared" si="235"/>
        <v>66130782.321040943</v>
      </c>
      <c r="E913" s="95">
        <f t="shared" si="236"/>
        <v>84216149.931666777</v>
      </c>
      <c r="I913" s="43">
        <v>4</v>
      </c>
      <c r="J913" s="95">
        <f t="shared" si="230"/>
        <v>27162263.22841689</v>
      </c>
      <c r="K913" s="95">
        <f t="shared" si="231"/>
        <v>26046923.085586771</v>
      </c>
      <c r="L913" s="95">
        <f t="shared" si="232"/>
        <v>58497939.362963013</v>
      </c>
      <c r="M913" s="300">
        <f t="shared" si="233"/>
        <v>5288753.0489593521</v>
      </c>
      <c r="N913" s="70"/>
    </row>
    <row r="914" spans="1:14" x14ac:dyDescent="0.25">
      <c r="A914" s="43">
        <v>4</v>
      </c>
      <c r="B914" s="200">
        <f>'N CARRILES HCM'!F81</f>
        <v>202.59158579999999</v>
      </c>
      <c r="C914" s="95">
        <f t="shared" si="234"/>
        <v>58497939.362963013</v>
      </c>
      <c r="D914" s="95">
        <f t="shared" si="235"/>
        <v>68114705.790672153</v>
      </c>
      <c r="E914" s="95">
        <f t="shared" si="236"/>
        <v>86742634.429616764</v>
      </c>
      <c r="I914" s="43">
        <v>5</v>
      </c>
      <c r="J914" s="95">
        <f t="shared" si="230"/>
        <v>27977131.125269398</v>
      </c>
      <c r="K914" s="95">
        <f t="shared" si="231"/>
        <v>26828330.778154369</v>
      </c>
      <c r="L914" s="95">
        <f t="shared" si="232"/>
        <v>60252877.543851912</v>
      </c>
      <c r="M914" s="300">
        <f t="shared" si="233"/>
        <v>5447415.6404281445</v>
      </c>
      <c r="N914" s="70"/>
    </row>
    <row r="915" spans="1:14" x14ac:dyDescent="0.25">
      <c r="A915" s="43">
        <v>5</v>
      </c>
      <c r="B915" s="200">
        <f>'N CARRILES HCM'!F82</f>
        <v>208.66933337399996</v>
      </c>
      <c r="C915" s="95">
        <f t="shared" si="234"/>
        <v>60252877.543851912</v>
      </c>
      <c r="D915" s="95">
        <f t="shared" si="235"/>
        <v>70158146.964392334</v>
      </c>
      <c r="E915" s="95">
        <f t="shared" si="236"/>
        <v>89344913.462505266</v>
      </c>
      <c r="I915" s="43">
        <v>6</v>
      </c>
      <c r="J915" s="95">
        <f t="shared" si="230"/>
        <v>28816445.059027482</v>
      </c>
      <c r="K915" s="95">
        <f t="shared" si="231"/>
        <v>27633180.701499004</v>
      </c>
      <c r="L915" s="95">
        <f t="shared" si="232"/>
        <v>62060463.870167471</v>
      </c>
      <c r="M915" s="300">
        <f t="shared" si="233"/>
        <v>5610838.109640982</v>
      </c>
      <c r="N915" s="70"/>
    </row>
    <row r="916" spans="1:14" x14ac:dyDescent="0.25">
      <c r="A916" s="43">
        <v>6</v>
      </c>
      <c r="B916" s="200">
        <f>'N CARRILES HCM'!F83</f>
        <v>214.92941337521998</v>
      </c>
      <c r="C916" s="95">
        <f t="shared" si="234"/>
        <v>62060463.870167471</v>
      </c>
      <c r="D916" s="95">
        <f t="shared" si="235"/>
        <v>72262891.373324096</v>
      </c>
      <c r="E916" s="95">
        <f t="shared" si="236"/>
        <v>92025260.866380438</v>
      </c>
      <c r="I916" s="43">
        <v>7</v>
      </c>
      <c r="J916" s="95">
        <f t="shared" si="230"/>
        <v>29680938.410798304</v>
      </c>
      <c r="K916" s="95">
        <f t="shared" si="231"/>
        <v>28462176.122543979</v>
      </c>
      <c r="L916" s="95">
        <f t="shared" si="232"/>
        <v>63922277.786272489</v>
      </c>
      <c r="M916" s="300">
        <f t="shared" si="233"/>
        <v>5779163.2529302016</v>
      </c>
      <c r="N916" s="70"/>
    </row>
    <row r="917" spans="1:14" x14ac:dyDescent="0.25">
      <c r="A917" s="43">
        <v>7</v>
      </c>
      <c r="B917" s="200">
        <f>'N CARRILES HCM'!F84</f>
        <v>221.37729577647659</v>
      </c>
      <c r="C917" s="95">
        <f t="shared" si="234"/>
        <v>63922277.786272489</v>
      </c>
      <c r="D917" s="95">
        <f t="shared" si="235"/>
        <v>74430778.114523813</v>
      </c>
      <c r="E917" s="95">
        <f t="shared" si="236"/>
        <v>94786018.69237183</v>
      </c>
      <c r="I917" s="43">
        <v>8</v>
      </c>
      <c r="J917" s="95">
        <f t="shared" si="230"/>
        <v>30571366.563122254</v>
      </c>
      <c r="K917" s="95">
        <f t="shared" si="231"/>
        <v>29316041.406220295</v>
      </c>
      <c r="L917" s="95">
        <f t="shared" si="232"/>
        <v>65839946.119860671</v>
      </c>
      <c r="M917" s="300">
        <f t="shared" si="233"/>
        <v>5952538.1505181231</v>
      </c>
      <c r="N917" s="70"/>
    </row>
    <row r="918" spans="1:14" x14ac:dyDescent="0.25">
      <c r="A918" s="43">
        <v>8</v>
      </c>
      <c r="B918" s="200">
        <f>'N CARRILES HCM'!F85</f>
        <v>228.01861464977088</v>
      </c>
      <c r="C918" s="95">
        <f t="shared" si="234"/>
        <v>65839946.119860671</v>
      </c>
      <c r="D918" s="95">
        <f t="shared" si="235"/>
        <v>76663701.457959548</v>
      </c>
      <c r="E918" s="95">
        <f t="shared" si="236"/>
        <v>97629599.253142998</v>
      </c>
      <c r="I918" s="43">
        <v>9</v>
      </c>
      <c r="J918" s="95">
        <f t="shared" si="230"/>
        <v>31488507.560015924</v>
      </c>
      <c r="K918" s="95">
        <f t="shared" si="231"/>
        <v>30195522.648406904</v>
      </c>
      <c r="L918" s="95">
        <f t="shared" si="232"/>
        <v>67815144.503456488</v>
      </c>
      <c r="M918" s="300">
        <f t="shared" si="233"/>
        <v>6131114.2950336561</v>
      </c>
      <c r="N918" s="70"/>
    </row>
    <row r="919" spans="1:14" x14ac:dyDescent="0.25">
      <c r="A919" s="43">
        <v>9</v>
      </c>
      <c r="B919" s="200">
        <f>'N CARRILES HCM'!F86</f>
        <v>234.859173089264</v>
      </c>
      <c r="C919" s="95">
        <f t="shared" si="234"/>
        <v>67815144.503456488</v>
      </c>
      <c r="D919" s="95">
        <f t="shared" si="235"/>
        <v>78963612.501698315</v>
      </c>
      <c r="E919" s="95">
        <f t="shared" si="236"/>
        <v>100558487.23073728</v>
      </c>
      <c r="I919" s="43">
        <v>10</v>
      </c>
      <c r="J919" s="95">
        <f t="shared" si="230"/>
        <v>32433162.786816403</v>
      </c>
      <c r="K919" s="95">
        <f t="shared" si="231"/>
        <v>31101388.327859111</v>
      </c>
      <c r="L919" s="95">
        <f t="shared" si="232"/>
        <v>69849598.838560179</v>
      </c>
      <c r="M919" s="300">
        <f t="shared" si="233"/>
        <v>6315047.7238846645</v>
      </c>
      <c r="N919" s="70"/>
    </row>
    <row r="920" spans="1:14" x14ac:dyDescent="0.25">
      <c r="A920" s="43">
        <v>10</v>
      </c>
      <c r="B920" s="200">
        <f>'N CARRILES HCM'!F87</f>
        <v>241.90494828194193</v>
      </c>
      <c r="C920" s="95">
        <f t="shared" si="234"/>
        <v>69849598.838560179</v>
      </c>
      <c r="D920" s="95">
        <f t="shared" si="235"/>
        <v>81332520.876749277</v>
      </c>
      <c r="E920" s="95">
        <f t="shared" si="236"/>
        <v>103575241.84765941</v>
      </c>
      <c r="I920" s="43">
        <v>11</v>
      </c>
      <c r="J920" s="95">
        <f t="shared" si="230"/>
        <v>33406157.670420889</v>
      </c>
      <c r="K920" s="95">
        <f t="shared" si="231"/>
        <v>32034429.977694884</v>
      </c>
      <c r="L920" s="95">
        <f t="shared" si="232"/>
        <v>71945086.803716987</v>
      </c>
      <c r="M920" s="300">
        <f t="shared" si="233"/>
        <v>6504499.1556012146</v>
      </c>
      <c r="N920" s="70"/>
    </row>
    <row r="921" spans="1:14" x14ac:dyDescent="0.25">
      <c r="A921" s="43">
        <v>11</v>
      </c>
      <c r="B921" s="200">
        <f>'N CARRILES HCM'!F88</f>
        <v>249.16209673040018</v>
      </c>
      <c r="C921" s="95">
        <f t="shared" si="234"/>
        <v>71945086.803716987</v>
      </c>
      <c r="D921" s="95">
        <f t="shared" si="235"/>
        <v>83772496.503051758</v>
      </c>
      <c r="E921" s="95">
        <f t="shared" si="236"/>
        <v>106682499.1030892</v>
      </c>
      <c r="I921" s="43">
        <v>12</v>
      </c>
      <c r="J921" s="95">
        <f t="shared" si="230"/>
        <v>34408342.400533512</v>
      </c>
      <c r="K921" s="95">
        <f t="shared" si="231"/>
        <v>32995462.877025727</v>
      </c>
      <c r="L921" s="95">
        <f t="shared" si="232"/>
        <v>81616698.761091009</v>
      </c>
      <c r="M921" s="300">
        <f t="shared" si="233"/>
        <v>14212893.483531773</v>
      </c>
      <c r="N921" s="70"/>
    </row>
    <row r="922" spans="1:14" x14ac:dyDescent="0.25">
      <c r="A922" s="43">
        <v>12</v>
      </c>
      <c r="B922" s="200">
        <f>'N CARRILES HCM'!F89</f>
        <v>256.63695963231214</v>
      </c>
      <c r="C922" s="95">
        <f t="shared" si="234"/>
        <v>81616698.761091009</v>
      </c>
      <c r="D922" s="95">
        <f t="shared" si="235"/>
        <v>86285671.398143291</v>
      </c>
      <c r="E922" s="95">
        <f t="shared" si="236"/>
        <v>109882974.07618184</v>
      </c>
      <c r="I922" s="43">
        <v>13</v>
      </c>
      <c r="J922" s="95">
        <f t="shared" si="230"/>
        <v>35440592.672549516</v>
      </c>
      <c r="K922" s="95">
        <f t="shared" si="231"/>
        <v>33985326.763336495</v>
      </c>
      <c r="L922" s="95">
        <f t="shared" si="232"/>
        <v>84065199.723923728</v>
      </c>
      <c r="M922" s="300">
        <f t="shared" si="233"/>
        <v>14639280.288037717</v>
      </c>
      <c r="N922" s="70"/>
    </row>
    <row r="923" spans="1:14" x14ac:dyDescent="0.25">
      <c r="A923" s="43">
        <v>13</v>
      </c>
      <c r="B923" s="200">
        <f>'N CARRILES HCM'!F90</f>
        <v>264.33606842128148</v>
      </c>
      <c r="C923" s="95">
        <f t="shared" si="234"/>
        <v>84065199.723923728</v>
      </c>
      <c r="D923" s="95">
        <f t="shared" si="235"/>
        <v>88874241.540087581</v>
      </c>
      <c r="E923" s="95">
        <f t="shared" si="236"/>
        <v>113179463.29846729</v>
      </c>
      <c r="I923" s="43">
        <v>14</v>
      </c>
      <c r="J923" s="95">
        <f t="shared" si="230"/>
        <v>39308169.433882624</v>
      </c>
      <c r="K923" s="95">
        <f t="shared" si="231"/>
        <v>35004886.5662366</v>
      </c>
      <c r="L923" s="95">
        <f t="shared" si="232"/>
        <v>86587155.715641454</v>
      </c>
      <c r="M923" s="300">
        <f t="shared" si="233"/>
        <v>12274099.71552223</v>
      </c>
      <c r="N923" s="70"/>
    </row>
    <row r="924" spans="1:14" x14ac:dyDescent="0.25">
      <c r="A924" s="43">
        <v>14</v>
      </c>
      <c r="B924" s="200">
        <f>'N CARRILES HCM'!F91</f>
        <v>272.26615047391999</v>
      </c>
      <c r="C924" s="95">
        <f t="shared" si="234"/>
        <v>86587155.715641454</v>
      </c>
      <c r="D924" s="95">
        <f t="shared" si="235"/>
        <v>91540468.786290213</v>
      </c>
      <c r="E924" s="95">
        <f t="shared" si="236"/>
        <v>116574847.19742133</v>
      </c>
      <c r="I924" s="43">
        <v>15</v>
      </c>
      <c r="J924" s="95">
        <f t="shared" si="230"/>
        <v>40487414.516899109</v>
      </c>
      <c r="K924" s="95">
        <f t="shared" si="231"/>
        <v>36055033.163223699</v>
      </c>
      <c r="L924" s="95">
        <f t="shared" si="232"/>
        <v>89184770.38711071</v>
      </c>
      <c r="M924" s="300">
        <f t="shared" si="233"/>
        <v>12642322.706987903</v>
      </c>
      <c r="N924" s="70"/>
    </row>
    <row r="925" spans="1:14" x14ac:dyDescent="0.25">
      <c r="A925" s="43">
        <v>15</v>
      </c>
      <c r="B925" s="200">
        <f>'N CARRILES HCM'!F92</f>
        <v>280.4341349881376</v>
      </c>
      <c r="C925" s="95">
        <f t="shared" si="234"/>
        <v>89184770.38711071</v>
      </c>
      <c r="D925" s="95">
        <f t="shared" si="235"/>
        <v>94286682.849878937</v>
      </c>
      <c r="E925" s="95">
        <f t="shared" si="236"/>
        <v>120072092.61334398</v>
      </c>
      <c r="I925" s="43">
        <v>16</v>
      </c>
      <c r="J925" s="95">
        <f t="shared" si="230"/>
        <v>41702036.952406071</v>
      </c>
      <c r="K925" s="95">
        <f t="shared" si="231"/>
        <v>37136684.158120401</v>
      </c>
      <c r="L925" s="95">
        <f t="shared" si="232"/>
        <v>91860313.498724014</v>
      </c>
      <c r="M925" s="300">
        <f t="shared" si="233"/>
        <v>13021592.388197541</v>
      </c>
      <c r="N925" s="70"/>
    </row>
    <row r="926" spans="1:14" x14ac:dyDescent="0.25">
      <c r="A926" s="43">
        <v>16</v>
      </c>
      <c r="B926" s="200">
        <f>'N CARRILES HCM'!F93</f>
        <v>288.84715903778169</v>
      </c>
      <c r="C926" s="95">
        <f t="shared" si="234"/>
        <v>91860313.498724014</v>
      </c>
      <c r="D926" s="95">
        <f t="shared" si="235"/>
        <v>97115283.335375294</v>
      </c>
      <c r="E926" s="95">
        <f t="shared" si="236"/>
        <v>123674255.39174427</v>
      </c>
      <c r="I926" s="43">
        <v>17</v>
      </c>
      <c r="J926" s="95">
        <f t="shared" si="230"/>
        <v>42953098.060978249</v>
      </c>
      <c r="K926" s="95">
        <f t="shared" si="231"/>
        <v>38250784.682864018</v>
      </c>
      <c r="L926" s="95">
        <f t="shared" si="232"/>
        <v>94616122.903685749</v>
      </c>
      <c r="M926" s="300">
        <f t="shared" si="233"/>
        <v>13412240.159843482</v>
      </c>
      <c r="N926" s="70"/>
    </row>
    <row r="927" spans="1:14" x14ac:dyDescent="0.25">
      <c r="A927" s="43">
        <v>17</v>
      </c>
      <c r="B927" s="200">
        <f>'N CARRILES HCM'!F94</f>
        <v>297.51257380891514</v>
      </c>
      <c r="C927" s="95">
        <f t="shared" si="234"/>
        <v>94616122.903685749</v>
      </c>
      <c r="D927" s="95">
        <f t="shared" si="235"/>
        <v>100028741.83543655</v>
      </c>
      <c r="E927" s="95">
        <f t="shared" si="236"/>
        <v>127384483.05349661</v>
      </c>
      <c r="I927" s="43">
        <v>18</v>
      </c>
      <c r="J927" s="95">
        <f t="shared" si="230"/>
        <v>44241691.002807602</v>
      </c>
      <c r="K927" s="95">
        <f t="shared" si="231"/>
        <v>39398308.223349929</v>
      </c>
      <c r="L927" s="95">
        <f t="shared" si="232"/>
        <v>97454606.590796307</v>
      </c>
      <c r="M927" s="300">
        <f t="shared" si="233"/>
        <v>13814607.364638776</v>
      </c>
      <c r="N927" s="70"/>
    </row>
    <row r="928" spans="1:14" x14ac:dyDescent="0.25">
      <c r="A928" s="43">
        <v>18</v>
      </c>
      <c r="B928" s="200">
        <f>'N CARRILES HCM'!F95</f>
        <v>306.43795102318256</v>
      </c>
      <c r="C928" s="95">
        <f t="shared" si="234"/>
        <v>97454606.590796307</v>
      </c>
      <c r="D928" s="95">
        <f t="shared" si="235"/>
        <v>103029604.09049964</v>
      </c>
      <c r="E928" s="95">
        <f t="shared" si="236"/>
        <v>131206017.54510149</v>
      </c>
      <c r="I928" s="43">
        <v>19</v>
      </c>
      <c r="J928" s="95">
        <f t="shared" si="230"/>
        <v>45568941.732891828</v>
      </c>
      <c r="K928" s="95">
        <f t="shared" si="231"/>
        <v>40580257.470050424</v>
      </c>
      <c r="L928" s="95">
        <f t="shared" si="232"/>
        <v>100378244.7885202</v>
      </c>
      <c r="M928" s="300">
        <f t="shared" si="233"/>
        <v>14229045.58557795</v>
      </c>
      <c r="N928" s="70"/>
    </row>
    <row r="929" spans="1:14" x14ac:dyDescent="0.25">
      <c r="A929" s="43">
        <v>19</v>
      </c>
      <c r="B929" s="200">
        <f>'N CARRILES HCM'!F96</f>
        <v>315.63108955387804</v>
      </c>
      <c r="C929" s="95">
        <f t="shared" si="234"/>
        <v>100378244.7885202</v>
      </c>
      <c r="D929" s="95">
        <f t="shared" si="235"/>
        <v>106120492.21321464</v>
      </c>
      <c r="E929" s="95">
        <f t="shared" si="236"/>
        <v>135142198.07145455</v>
      </c>
      <c r="I929" s="43">
        <v>20</v>
      </c>
      <c r="J929" s="95">
        <f t="shared" si="230"/>
        <v>46936009.984878585</v>
      </c>
      <c r="K929" s="95">
        <f t="shared" si="231"/>
        <v>41797665.194151945</v>
      </c>
      <c r="L929" s="95">
        <f t="shared" si="232"/>
        <v>103389592.1321758</v>
      </c>
      <c r="M929" s="300">
        <f t="shared" si="233"/>
        <v>14655916.953145273</v>
      </c>
      <c r="N929" s="70"/>
    </row>
    <row r="930" spans="1:14" x14ac:dyDescent="0.25">
      <c r="A930" s="43">
        <v>20</v>
      </c>
      <c r="B930" s="200">
        <f>'N CARRILES HCM'!F97</f>
        <v>325.10002224049441</v>
      </c>
      <c r="C930" s="95">
        <f t="shared" si="234"/>
        <v>103389592.1321758</v>
      </c>
      <c r="D930" s="95">
        <f t="shared" si="235"/>
        <v>109304106.97961107</v>
      </c>
      <c r="E930" s="95">
        <f t="shared" si="236"/>
        <v>139196464.01359817</v>
      </c>
      <c r="I930" s="43">
        <v>21</v>
      </c>
      <c r="J930" s="95">
        <f t="shared" si="230"/>
        <v>48344090.284424923</v>
      </c>
      <c r="K930" s="95">
        <f t="shared" si="231"/>
        <v>43051595.149976492</v>
      </c>
      <c r="L930" s="95">
        <f t="shared" si="232"/>
        <v>106491279.89614105</v>
      </c>
      <c r="M930" s="300">
        <f t="shared" si="233"/>
        <v>15095594.461739637</v>
      </c>
      <c r="N930" s="70"/>
    </row>
    <row r="931" spans="1:14" x14ac:dyDescent="0.25">
      <c r="A931" s="43">
        <v>21</v>
      </c>
      <c r="B931" s="200">
        <f>'N CARRILES HCM'!F98</f>
        <v>334.85302290770915</v>
      </c>
      <c r="C931" s="95">
        <f t="shared" si="234"/>
        <v>106491279.89614105</v>
      </c>
      <c r="D931" s="95">
        <f t="shared" si="235"/>
        <v>112583230.18899938</v>
      </c>
      <c r="E931" s="95">
        <f t="shared" si="236"/>
        <v>143372357.93400609</v>
      </c>
      <c r="I931" s="43">
        <v>22</v>
      </c>
      <c r="J931" s="95">
        <f t="shared" si="230"/>
        <v>49794412.992957674</v>
      </c>
      <c r="K931" s="95">
        <f t="shared" si="231"/>
        <v>44343143.004475795</v>
      </c>
      <c r="L931" s="95">
        <f t="shared" si="232"/>
        <v>109686018.29302529</v>
      </c>
      <c r="M931" s="300">
        <f t="shared" si="233"/>
        <v>15548462.295591816</v>
      </c>
      <c r="N931" s="70"/>
    </row>
    <row r="932" spans="1:14" x14ac:dyDescent="0.25">
      <c r="A932" s="43">
        <v>22</v>
      </c>
      <c r="B932" s="200">
        <f>'N CARRILES HCM'!F99</f>
        <v>344.89861359494046</v>
      </c>
      <c r="C932" s="95">
        <f t="shared" si="234"/>
        <v>109686018.29302529</v>
      </c>
      <c r="D932" s="95">
        <f t="shared" si="235"/>
        <v>115960727.09466936</v>
      </c>
      <c r="E932" s="95">
        <f t="shared" si="236"/>
        <v>147673528.67202628</v>
      </c>
      <c r="I932" s="43">
        <v>23</v>
      </c>
      <c r="J932" s="95">
        <f t="shared" si="230"/>
        <v>51288245.382746413</v>
      </c>
      <c r="K932" s="95">
        <f t="shared" si="231"/>
        <v>45673437.294610061</v>
      </c>
      <c r="L932" s="95">
        <f t="shared" si="232"/>
        <v>112976598.84181605</v>
      </c>
      <c r="M932" s="300">
        <f t="shared" si="233"/>
        <v>16014916.164459571</v>
      </c>
      <c r="N932" s="70"/>
    </row>
    <row r="933" spans="1:14" x14ac:dyDescent="0.25">
      <c r="A933" s="43">
        <v>23</v>
      </c>
      <c r="B933" s="200">
        <f>'N CARRILES HCM'!F100</f>
        <v>355.24557200278872</v>
      </c>
      <c r="C933" s="95">
        <f t="shared" si="234"/>
        <v>112976598.84181605</v>
      </c>
      <c r="D933" s="95">
        <f t="shared" si="235"/>
        <v>119439548.90750945</v>
      </c>
      <c r="E933" s="95">
        <f t="shared" si="236"/>
        <v>152103734.53218707</v>
      </c>
      <c r="I933" s="43">
        <v>24</v>
      </c>
      <c r="J933" s="95">
        <f t="shared" si="230"/>
        <v>52826892.744228795</v>
      </c>
      <c r="K933" s="95">
        <f t="shared" si="231"/>
        <v>47043640.413448364</v>
      </c>
      <c r="L933" s="95">
        <f t="shared" si="232"/>
        <v>116365896.80707051</v>
      </c>
      <c r="M933" s="300">
        <f t="shared" si="233"/>
        <v>16495363.64939335</v>
      </c>
      <c r="N933" s="70"/>
    </row>
    <row r="934" spans="1:14" x14ac:dyDescent="0.25">
      <c r="A934" s="43">
        <v>24</v>
      </c>
      <c r="B934" s="200">
        <f>'N CARRILES HCM'!F101</f>
        <v>365.90293916287231</v>
      </c>
      <c r="C934" s="95">
        <f t="shared" si="234"/>
        <v>116365896.80707051</v>
      </c>
      <c r="D934" s="95">
        <f t="shared" si="235"/>
        <v>123022735.3747347</v>
      </c>
      <c r="E934" s="95">
        <f t="shared" si="236"/>
        <v>156666846.56815267</v>
      </c>
      <c r="I934" s="43">
        <v>25</v>
      </c>
      <c r="J934" s="95">
        <f t="shared" si="230"/>
        <v>54411699.526555657</v>
      </c>
      <c r="K934" s="95">
        <f t="shared" si="231"/>
        <v>48454949.62585181</v>
      </c>
      <c r="L934" s="95">
        <f t="shared" si="232"/>
        <v>119856873.71128264</v>
      </c>
      <c r="M934" s="300">
        <f t="shared" si="233"/>
        <v>16990224.558875173</v>
      </c>
      <c r="N934" s="70"/>
    </row>
    <row r="935" spans="1:14" x14ac:dyDescent="0.25">
      <c r="A935" s="43">
        <v>25</v>
      </c>
      <c r="B935" s="200">
        <f>'N CARRILES HCM'!F102</f>
        <v>376.88002733775846</v>
      </c>
      <c r="C935" s="95">
        <f t="shared" si="234"/>
        <v>119856873.71128264</v>
      </c>
      <c r="D935" s="95">
        <f t="shared" si="235"/>
        <v>126713417.43597676</v>
      </c>
      <c r="E935" s="95">
        <f t="shared" si="236"/>
        <v>161366851.96519727</v>
      </c>
      <c r="I935" s="43">
        <v>26</v>
      </c>
      <c r="J935" s="95">
        <f t="shared" si="230"/>
        <v>56044050.512352347</v>
      </c>
      <c r="K935" s="95">
        <f t="shared" si="231"/>
        <v>49908598.114627376</v>
      </c>
      <c r="L935" s="95">
        <f t="shared" si="232"/>
        <v>123452579.92262118</v>
      </c>
      <c r="M935" s="300">
        <f t="shared" si="233"/>
        <v>17499931.295641452</v>
      </c>
      <c r="N935" s="70"/>
    </row>
    <row r="936" spans="1:14" x14ac:dyDescent="0.25">
      <c r="A936" s="43">
        <v>26</v>
      </c>
      <c r="B936" s="200">
        <f>'N CARRILES HCM'!F103</f>
        <v>388.18642815789133</v>
      </c>
      <c r="C936" s="95">
        <f t="shared" si="234"/>
        <v>123452579.92262118</v>
      </c>
      <c r="D936" s="95">
        <f t="shared" si="235"/>
        <v>130514819.95905612</v>
      </c>
      <c r="E936" s="95">
        <f t="shared" si="236"/>
        <v>166207857.52415323</v>
      </c>
      <c r="I936" s="43">
        <v>27</v>
      </c>
      <c r="J936" s="95">
        <f t="shared" si="230"/>
        <v>57725372.027722895</v>
      </c>
      <c r="K936" s="95">
        <f t="shared" si="231"/>
        <v>51405856.058066189</v>
      </c>
      <c r="L936" s="95">
        <f t="shared" si="232"/>
        <v>127156157.32029976</v>
      </c>
      <c r="M936" s="300">
        <f t="shared" si="233"/>
        <v>18024929.234510675</v>
      </c>
      <c r="N936" s="70"/>
    </row>
    <row r="937" spans="1:14" x14ac:dyDescent="0.25">
      <c r="A937" s="43">
        <v>27</v>
      </c>
      <c r="B937" s="200">
        <f>'N CARRILES HCM'!F104</f>
        <v>399.83202100262798</v>
      </c>
      <c r="C937" s="95">
        <f t="shared" si="234"/>
        <v>127156157.32029976</v>
      </c>
      <c r="D937" s="95">
        <f t="shared" si="235"/>
        <v>134430264.55782774</v>
      </c>
      <c r="E937" s="95">
        <f t="shared" si="236"/>
        <v>171194093.24987778</v>
      </c>
      <c r="I937" s="43">
        <v>28</v>
      </c>
      <c r="J937" s="95">
        <f t="shared" si="230"/>
        <v>59457133.1885546</v>
      </c>
      <c r="K937" s="95">
        <f t="shared" si="231"/>
        <v>52948031.739808179</v>
      </c>
      <c r="L937" s="95">
        <f t="shared" si="232"/>
        <v>130970842.03990875</v>
      </c>
      <c r="M937" s="300">
        <f t="shared" si="233"/>
        <v>18565677.111545965</v>
      </c>
      <c r="N937" s="70"/>
    </row>
    <row r="938" spans="1:14" x14ac:dyDescent="0.25">
      <c r="A938" s="43">
        <v>28</v>
      </c>
      <c r="B938" s="200">
        <f>'N CARRILES HCM'!F105</f>
        <v>411.82698163270686</v>
      </c>
      <c r="C938" s="95">
        <f t="shared" si="234"/>
        <v>130970842.03990875</v>
      </c>
      <c r="D938" s="95">
        <f t="shared" si="235"/>
        <v>138463172.4945626</v>
      </c>
      <c r="E938" s="95">
        <f t="shared" si="236"/>
        <v>176329916.0473741</v>
      </c>
      <c r="I938" s="43">
        <v>29</v>
      </c>
      <c r="J938" s="95">
        <f t="shared" si="230"/>
        <v>61240847.184211232</v>
      </c>
      <c r="K938" s="95">
        <f t="shared" si="231"/>
        <v>54536472.692002416</v>
      </c>
      <c r="L938" s="95">
        <f t="shared" si="232"/>
        <v>134899967.30110601</v>
      </c>
      <c r="M938" s="300">
        <f t="shared" si="233"/>
        <v>19122647.424892358</v>
      </c>
      <c r="N938" s="70"/>
    </row>
    <row r="939" spans="1:14" x14ac:dyDescent="0.25">
      <c r="A939" s="43">
        <v>29</v>
      </c>
      <c r="B939" s="200">
        <f>'N CARRILES HCM'!F106</f>
        <v>424.181791081688</v>
      </c>
      <c r="C939" s="95">
        <f t="shared" si="234"/>
        <v>134899967.30110601</v>
      </c>
      <c r="D939" s="95">
        <f t="shared" si="235"/>
        <v>142617067.66939944</v>
      </c>
      <c r="E939" s="95">
        <f t="shared" si="236"/>
        <v>181619813.52879533</v>
      </c>
      <c r="I939" s="43">
        <v>30</v>
      </c>
      <c r="J939" s="95">
        <f>IF($B$20="P",C903,IF($B$20="L",D903,IF($B$20="M",E903)))</f>
        <v>63078072.59973757</v>
      </c>
      <c r="K939" s="95">
        <f t="shared" si="231"/>
        <v>56172566.872762501</v>
      </c>
      <c r="L939" s="95">
        <f t="shared" si="232"/>
        <v>138946966.3201392</v>
      </c>
      <c r="M939" s="300">
        <f t="shared" si="233"/>
        <v>19696326.847639129</v>
      </c>
      <c r="N939" s="70"/>
    </row>
    <row r="940" spans="1:14" x14ac:dyDescent="0.25">
      <c r="A940" s="43">
        <v>30</v>
      </c>
      <c r="B940" s="200">
        <f>'N CARRILES HCM'!F107</f>
        <v>436.90724481413866</v>
      </c>
      <c r="C940" s="95">
        <f t="shared" si="234"/>
        <v>138946966.3201392</v>
      </c>
      <c r="D940" s="95">
        <f t="shared" si="235"/>
        <v>146895579.69948146</v>
      </c>
      <c r="E940" s="95">
        <f t="shared" si="236"/>
        <v>187068407.93465918</v>
      </c>
      <c r="I940" s="43">
        <v>31</v>
      </c>
      <c r="J940" s="95">
        <f>IF($B$20="P",C904,IF($B$20="L",D904,IF($B$20="M",E904)))</f>
        <v>64970414.777729698</v>
      </c>
      <c r="K940" s="95">
        <f>IF($B$57="P",K904,IF($B$57="L",L904,IF($B$57="M",M904)))</f>
        <v>57857743.87894538</v>
      </c>
      <c r="L940" s="95">
        <f>IF($B$94="P",C941,IF($B$94="L",D941,IF($B$94="M",E941)))</f>
        <v>143115375.30974337</v>
      </c>
      <c r="M940" s="300">
        <f>L940-K940-J940</f>
        <v>20287216.653068297</v>
      </c>
    </row>
    <row r="941" spans="1:14" x14ac:dyDescent="0.25">
      <c r="A941" s="43">
        <v>31</v>
      </c>
      <c r="B941" s="200">
        <f>'N CARRILES HCM'!F108</f>
        <v>450.01446215856288</v>
      </c>
      <c r="C941" s="95">
        <f>B941*365*$G$418*L867</f>
        <v>143115375.30974337</v>
      </c>
      <c r="D941" s="95">
        <f>B941*365*$G$418*M867</f>
        <v>151302447.0904659</v>
      </c>
      <c r="E941" s="95">
        <f>B941*365*$G$418*N867</f>
        <v>192680460.172699</v>
      </c>
      <c r="I941" s="43">
        <v>32</v>
      </c>
      <c r="J941" s="95">
        <f>IF($B$20="P",C905,IF($B$20="L",D905,IF($B$20="M",E905)))</f>
        <v>66919527.221061587</v>
      </c>
      <c r="K941" s="95">
        <f>IF($B$57="P",K905,IF($B$57="L",L905,IF($B$57="M",M905)))</f>
        <v>59593476.195313737</v>
      </c>
      <c r="L941" s="95">
        <f>IF($B$94="P",C942,IF($B$94="L",D942,IF($B$94="M",E942)))</f>
        <v>147408836.56903565</v>
      </c>
      <c r="M941" s="300">
        <f>L941-K941-J941</f>
        <v>20895833.152660325</v>
      </c>
    </row>
    <row r="942" spans="1:14" x14ac:dyDescent="0.25">
      <c r="A942" s="43">
        <v>32</v>
      </c>
      <c r="B942" s="200">
        <f>'N CARRILES HCM'!F109</f>
        <v>463.51489602331969</v>
      </c>
      <c r="C942" s="95">
        <f>B942*365*$G$418*L868</f>
        <v>147408836.56903565</v>
      </c>
      <c r="D942" s="95">
        <f>B942*365*$G$418*M868</f>
        <v>155841520.50317985</v>
      </c>
      <c r="E942" s="95">
        <f>B942*365*$G$418*N868</f>
        <v>198460873.97787994</v>
      </c>
    </row>
    <row r="945" spans="1:13" x14ac:dyDescent="0.25">
      <c r="A945" s="239" t="s">
        <v>261</v>
      </c>
      <c r="B945" s="239"/>
      <c r="C945" s="239"/>
      <c r="D945" s="239"/>
      <c r="E945" s="239"/>
    </row>
    <row r="946" spans="1:13" x14ac:dyDescent="0.25">
      <c r="A946" t="s">
        <v>243</v>
      </c>
      <c r="I946" t="s">
        <v>529</v>
      </c>
    </row>
    <row r="947" spans="1:13" x14ac:dyDescent="0.25">
      <c r="C947" s="569" t="s">
        <v>246</v>
      </c>
      <c r="D947" s="569"/>
      <c r="E947" s="569"/>
      <c r="J947" s="30" t="s">
        <v>246</v>
      </c>
      <c r="K947" s="30"/>
      <c r="L947" s="570" t="s">
        <v>250</v>
      </c>
      <c r="M947" s="571"/>
    </row>
    <row r="948" spans="1:13" x14ac:dyDescent="0.25">
      <c r="A948" s="43" t="s">
        <v>18</v>
      </c>
      <c r="B948" s="43" t="s">
        <v>263</v>
      </c>
      <c r="C948" s="298" t="s">
        <v>233</v>
      </c>
      <c r="D948" s="298" t="s">
        <v>234</v>
      </c>
      <c r="E948" s="298" t="s">
        <v>235</v>
      </c>
      <c r="I948" s="43" t="s">
        <v>18</v>
      </c>
      <c r="J948" s="270" t="s">
        <v>531</v>
      </c>
      <c r="K948" s="270" t="s">
        <v>90</v>
      </c>
      <c r="L948" s="572"/>
      <c r="M948" s="573"/>
    </row>
    <row r="949" spans="1:13" x14ac:dyDescent="0.25">
      <c r="A949" s="43">
        <v>0</v>
      </c>
      <c r="B949" s="69">
        <f>J873</f>
        <v>90</v>
      </c>
      <c r="C949" s="95">
        <f>B949*365*$G$207*L836</f>
        <v>25987330.726874996</v>
      </c>
      <c r="D949" s="95">
        <f>B949*365*$G$207*M836</f>
        <v>30259516.933799997</v>
      </c>
      <c r="E949" s="95">
        <f>B949*365*$G$207*N836</f>
        <v>38534853.5964</v>
      </c>
      <c r="I949" s="43">
        <v>0</v>
      </c>
      <c r="J949" s="200">
        <f>IF($B$20="P",C949,IF($B$20="L",D949,IF($B$20="M",E949)))</f>
        <v>25987330.726874996</v>
      </c>
      <c r="K949" s="200">
        <f>K909</f>
        <v>23142353.799599998</v>
      </c>
      <c r="L949" s="324">
        <f>J949-K949</f>
        <v>2844976.9272749983</v>
      </c>
      <c r="M949" s="70"/>
    </row>
    <row r="950" spans="1:13" x14ac:dyDescent="0.25">
      <c r="A950" s="43">
        <v>1</v>
      </c>
      <c r="B950" s="69">
        <f t="shared" ref="B950:B981" si="237">J874</f>
        <v>92.7</v>
      </c>
      <c r="C950" s="95">
        <f t="shared" ref="C950:C981" si="238">B950*365*$G$207*L837</f>
        <v>26766950.648681246</v>
      </c>
      <c r="D950" s="95">
        <f t="shared" ref="D950:D981" si="239">B950*365*$G$207*M837</f>
        <v>31167302.441813998</v>
      </c>
      <c r="E950" s="95">
        <f t="shared" ref="E950:E981" si="240">B950*365*$G$207*N837</f>
        <v>39690899.204291999</v>
      </c>
      <c r="I950" s="43">
        <v>1</v>
      </c>
      <c r="J950" s="200">
        <f t="shared" ref="J950:J965" si="241">IF($B$20="P",C950,IF($B$20="L",D950,IF($B$20="M",E950)))</f>
        <v>26766950.648681246</v>
      </c>
      <c r="K950" s="200">
        <f t="shared" ref="K950:K981" si="242">K910</f>
        <v>23836624.413588002</v>
      </c>
      <c r="L950" s="324">
        <f t="shared" ref="L950:L981" si="243">J950-K950</f>
        <v>2930326.2350932434</v>
      </c>
      <c r="M950" s="70"/>
    </row>
    <row r="951" spans="1:13" x14ac:dyDescent="0.25">
      <c r="A951" s="43">
        <v>2</v>
      </c>
      <c r="B951" s="69">
        <f t="shared" si="237"/>
        <v>95.480999999999995</v>
      </c>
      <c r="C951" s="95">
        <f t="shared" si="238"/>
        <v>27569959.168141682</v>
      </c>
      <c r="D951" s="95">
        <f t="shared" si="239"/>
        <v>32102321.515068416</v>
      </c>
      <c r="E951" s="95">
        <f t="shared" si="240"/>
        <v>40881626.180420756</v>
      </c>
      <c r="I951" s="43">
        <v>2</v>
      </c>
      <c r="J951" s="200">
        <f t="shared" si="241"/>
        <v>27569959.168141682</v>
      </c>
      <c r="K951" s="200">
        <f t="shared" si="242"/>
        <v>24551723.145995636</v>
      </c>
      <c r="L951" s="324">
        <f t="shared" si="243"/>
        <v>3018236.0221460462</v>
      </c>
      <c r="M951" s="70"/>
    </row>
    <row r="952" spans="1:13" x14ac:dyDescent="0.25">
      <c r="A952" s="43">
        <v>3</v>
      </c>
      <c r="B952" s="69">
        <f t="shared" si="237"/>
        <v>98.345429999999993</v>
      </c>
      <c r="C952" s="95">
        <f t="shared" si="238"/>
        <v>28397057.943185937</v>
      </c>
      <c r="D952" s="95">
        <f t="shared" si="239"/>
        <v>33065391.160520472</v>
      </c>
      <c r="E952" s="95">
        <f t="shared" si="240"/>
        <v>42108074.965833388</v>
      </c>
      <c r="I952" s="43">
        <v>3</v>
      </c>
      <c r="J952" s="200">
        <f t="shared" si="241"/>
        <v>28397057.943185937</v>
      </c>
      <c r="K952" s="200">
        <f t="shared" si="242"/>
        <v>25288274.840375505</v>
      </c>
      <c r="L952" s="324">
        <f t="shared" si="243"/>
        <v>3108783.1028104313</v>
      </c>
      <c r="M952" s="70"/>
    </row>
    <row r="953" spans="1:13" x14ac:dyDescent="0.25">
      <c r="A953" s="43">
        <v>4</v>
      </c>
      <c r="B953" s="69">
        <f t="shared" si="237"/>
        <v>101.2957929</v>
      </c>
      <c r="C953" s="95">
        <f t="shared" si="238"/>
        <v>29248969.681481507</v>
      </c>
      <c r="D953" s="95">
        <f t="shared" si="239"/>
        <v>34057352.895336077</v>
      </c>
      <c r="E953" s="95">
        <f t="shared" si="240"/>
        <v>43371317.214808382</v>
      </c>
      <c r="I953" s="43">
        <v>4</v>
      </c>
      <c r="J953" s="200">
        <f t="shared" si="241"/>
        <v>29248969.681481507</v>
      </c>
      <c r="K953" s="200">
        <f t="shared" si="242"/>
        <v>26046923.085586771</v>
      </c>
      <c r="L953" s="324">
        <f t="shared" si="243"/>
        <v>3202046.5958947353</v>
      </c>
      <c r="M953" s="70"/>
    </row>
    <row r="954" spans="1:13" x14ac:dyDescent="0.25">
      <c r="A954" s="43">
        <v>5</v>
      </c>
      <c r="B954" s="69">
        <f t="shared" si="237"/>
        <v>104.33466668699998</v>
      </c>
      <c r="C954" s="95">
        <f t="shared" si="238"/>
        <v>30126438.771925956</v>
      </c>
      <c r="D954" s="95">
        <f t="shared" si="239"/>
        <v>35079073.482196167</v>
      </c>
      <c r="E954" s="95">
        <f t="shared" si="240"/>
        <v>44672456.731252633</v>
      </c>
      <c r="I954" s="43">
        <v>5</v>
      </c>
      <c r="J954" s="200">
        <f t="shared" si="241"/>
        <v>30126438.771925956</v>
      </c>
      <c r="K954" s="200">
        <f t="shared" si="242"/>
        <v>26828330.778154369</v>
      </c>
      <c r="L954" s="324">
        <f t="shared" si="243"/>
        <v>3298107.9937715866</v>
      </c>
      <c r="M954" s="70"/>
    </row>
    <row r="955" spans="1:13" x14ac:dyDescent="0.25">
      <c r="A955" s="43">
        <v>6</v>
      </c>
      <c r="B955" s="69">
        <f t="shared" si="237"/>
        <v>107.46470668760999</v>
      </c>
      <c r="C955" s="95">
        <f t="shared" si="238"/>
        <v>31030231.935083736</v>
      </c>
      <c r="D955" s="95">
        <f t="shared" si="239"/>
        <v>36131445.686662048</v>
      </c>
      <c r="E955" s="95">
        <f t="shared" si="240"/>
        <v>46012630.433190219</v>
      </c>
      <c r="I955" s="43">
        <v>6</v>
      </c>
      <c r="J955" s="200">
        <f t="shared" si="241"/>
        <v>31030231.935083736</v>
      </c>
      <c r="K955" s="200">
        <f t="shared" si="242"/>
        <v>27633180.701499004</v>
      </c>
      <c r="L955" s="324">
        <f t="shared" si="243"/>
        <v>3397051.2335847318</v>
      </c>
      <c r="M955" s="70"/>
    </row>
    <row r="956" spans="1:13" x14ac:dyDescent="0.25">
      <c r="A956" s="43">
        <v>7</v>
      </c>
      <c r="B956" s="69">
        <f t="shared" si="237"/>
        <v>110.68864788823829</v>
      </c>
      <c r="C956" s="95">
        <f t="shared" si="238"/>
        <v>31961138.893136244</v>
      </c>
      <c r="D956" s="95">
        <f t="shared" si="239"/>
        <v>37215389.057261907</v>
      </c>
      <c r="E956" s="95">
        <f t="shared" si="240"/>
        <v>47393009.346185915</v>
      </c>
      <c r="I956" s="43">
        <v>7</v>
      </c>
      <c r="J956" s="200">
        <f t="shared" si="241"/>
        <v>31961138.893136244</v>
      </c>
      <c r="K956" s="200">
        <f t="shared" si="242"/>
        <v>28462176.122543979</v>
      </c>
      <c r="L956" s="324">
        <f t="shared" si="243"/>
        <v>3498962.7705922648</v>
      </c>
      <c r="M956" s="70"/>
    </row>
    <row r="957" spans="1:13" x14ac:dyDescent="0.25">
      <c r="A957" s="43">
        <v>8</v>
      </c>
      <c r="B957" s="69">
        <f t="shared" si="237"/>
        <v>114.00930732488544</v>
      </c>
      <c r="C957" s="95">
        <f t="shared" si="238"/>
        <v>32919973.059930336</v>
      </c>
      <c r="D957" s="95">
        <f t="shared" si="239"/>
        <v>38331850.728979774</v>
      </c>
      <c r="E957" s="95">
        <f t="shared" si="240"/>
        <v>48814799.626571499</v>
      </c>
      <c r="I957" s="43">
        <v>8</v>
      </c>
      <c r="J957" s="200">
        <f t="shared" si="241"/>
        <v>32919973.059930336</v>
      </c>
      <c r="K957" s="200">
        <f t="shared" si="242"/>
        <v>29316041.406220295</v>
      </c>
      <c r="L957" s="324">
        <f t="shared" si="243"/>
        <v>3603931.6537100412</v>
      </c>
      <c r="M957" s="70"/>
    </row>
    <row r="958" spans="1:13" x14ac:dyDescent="0.25">
      <c r="A958" s="43">
        <v>9</v>
      </c>
      <c r="B958" s="69">
        <f t="shared" si="237"/>
        <v>117.429586544632</v>
      </c>
      <c r="C958" s="95">
        <f t="shared" si="238"/>
        <v>33907572.251728244</v>
      </c>
      <c r="D958" s="95">
        <f t="shared" si="239"/>
        <v>39481806.250849158</v>
      </c>
      <c r="E958" s="95">
        <f t="shared" si="240"/>
        <v>50279243.615368642</v>
      </c>
      <c r="I958" s="43">
        <v>9</v>
      </c>
      <c r="J958" s="200">
        <f t="shared" si="241"/>
        <v>33907572.251728244</v>
      </c>
      <c r="K958" s="200">
        <f t="shared" si="242"/>
        <v>30195522.648406904</v>
      </c>
      <c r="L958" s="324">
        <f t="shared" si="243"/>
        <v>3712049.6033213399</v>
      </c>
      <c r="M958" s="70"/>
    </row>
    <row r="959" spans="1:13" x14ac:dyDescent="0.25">
      <c r="A959" s="43">
        <v>10</v>
      </c>
      <c r="B959" s="69">
        <f t="shared" si="237"/>
        <v>120.95247414097096</v>
      </c>
      <c r="C959" s="95">
        <f t="shared" si="238"/>
        <v>34924799.419280089</v>
      </c>
      <c r="D959" s="95">
        <f t="shared" si="239"/>
        <v>40666260.438374639</v>
      </c>
      <c r="E959" s="95">
        <f t="shared" si="240"/>
        <v>51787620.923829705</v>
      </c>
      <c r="I959" s="43">
        <v>10</v>
      </c>
      <c r="J959" s="200">
        <f t="shared" si="241"/>
        <v>34924799.419280089</v>
      </c>
      <c r="K959" s="200">
        <f t="shared" si="242"/>
        <v>31101388.327859111</v>
      </c>
      <c r="L959" s="324">
        <f t="shared" si="243"/>
        <v>3823411.0914209783</v>
      </c>
      <c r="M959" s="70"/>
    </row>
    <row r="960" spans="1:13" x14ac:dyDescent="0.25">
      <c r="A960" s="43">
        <v>11</v>
      </c>
      <c r="B960" s="69">
        <f t="shared" si="237"/>
        <v>124.58104836520009</v>
      </c>
      <c r="C960" s="95">
        <f t="shared" si="238"/>
        <v>35972543.401858494</v>
      </c>
      <c r="D960" s="95">
        <f t="shared" si="239"/>
        <v>41886248.251525879</v>
      </c>
      <c r="E960" s="95">
        <f t="shared" si="240"/>
        <v>53341249.551544599</v>
      </c>
      <c r="I960" s="43">
        <v>11</v>
      </c>
      <c r="J960" s="200">
        <f t="shared" si="241"/>
        <v>35972543.401858494</v>
      </c>
      <c r="K960" s="200">
        <f t="shared" si="242"/>
        <v>32034429.977694884</v>
      </c>
      <c r="L960" s="324">
        <f t="shared" si="243"/>
        <v>3938113.4241636097</v>
      </c>
      <c r="M960" s="70"/>
    </row>
    <row r="961" spans="1:13" x14ac:dyDescent="0.25">
      <c r="A961" s="43">
        <v>12</v>
      </c>
      <c r="B961" s="69">
        <f t="shared" si="237"/>
        <v>128.31847981615607</v>
      </c>
      <c r="C961" s="95">
        <f t="shared" si="238"/>
        <v>40808349.380545504</v>
      </c>
      <c r="D961" s="95">
        <f t="shared" si="239"/>
        <v>43142835.699071646</v>
      </c>
      <c r="E961" s="95">
        <f t="shared" si="240"/>
        <v>54941487.038090922</v>
      </c>
      <c r="I961" s="43">
        <v>12</v>
      </c>
      <c r="J961" s="200">
        <f t="shared" si="241"/>
        <v>40808349.380545504</v>
      </c>
      <c r="K961" s="200">
        <f t="shared" si="242"/>
        <v>32995462.877025727</v>
      </c>
      <c r="L961" s="324">
        <f t="shared" si="243"/>
        <v>7812886.5035197772</v>
      </c>
      <c r="M961" s="70"/>
    </row>
    <row r="962" spans="1:13" x14ac:dyDescent="0.25">
      <c r="A962" s="43">
        <v>13</v>
      </c>
      <c r="B962" s="69">
        <f t="shared" si="237"/>
        <v>132.16803421064074</v>
      </c>
      <c r="C962" s="95">
        <f t="shared" si="238"/>
        <v>42032599.861961864</v>
      </c>
      <c r="D962" s="95">
        <f t="shared" si="239"/>
        <v>44437120.77004379</v>
      </c>
      <c r="E962" s="95">
        <f t="shared" si="240"/>
        <v>56589731.649233647</v>
      </c>
      <c r="I962" s="43">
        <v>13</v>
      </c>
      <c r="J962" s="200">
        <f t="shared" si="241"/>
        <v>42032599.861961864</v>
      </c>
      <c r="K962" s="200">
        <f t="shared" si="242"/>
        <v>33985326.763336495</v>
      </c>
      <c r="L962" s="324">
        <f t="shared" si="243"/>
        <v>8047273.0986253694</v>
      </c>
      <c r="M962" s="70"/>
    </row>
    <row r="963" spans="1:13" x14ac:dyDescent="0.25">
      <c r="A963" s="43">
        <v>14</v>
      </c>
      <c r="B963" s="69">
        <f t="shared" si="237"/>
        <v>136.13307523696</v>
      </c>
      <c r="C963" s="95">
        <f t="shared" si="238"/>
        <v>43293577.857820727</v>
      </c>
      <c r="D963" s="95">
        <f t="shared" si="239"/>
        <v>45770234.393145107</v>
      </c>
      <c r="E963" s="95">
        <f t="shared" si="240"/>
        <v>58287423.598710664</v>
      </c>
      <c r="I963" s="43">
        <v>14</v>
      </c>
      <c r="J963" s="200">
        <f t="shared" si="241"/>
        <v>43293577.857820727</v>
      </c>
      <c r="K963" s="200">
        <f t="shared" si="242"/>
        <v>35004886.5662366</v>
      </c>
      <c r="L963" s="324">
        <f t="shared" si="243"/>
        <v>8288691.2915841267</v>
      </c>
      <c r="M963" s="70"/>
    </row>
    <row r="964" spans="1:13" x14ac:dyDescent="0.25">
      <c r="A964" s="43">
        <v>15</v>
      </c>
      <c r="B964" s="69">
        <f t="shared" si="237"/>
        <v>140.2170674940688</v>
      </c>
      <c r="C964" s="95">
        <f t="shared" si="238"/>
        <v>44592385.193555355</v>
      </c>
      <c r="D964" s="95">
        <f t="shared" si="239"/>
        <v>47143341.424939469</v>
      </c>
      <c r="E964" s="95">
        <f t="shared" si="240"/>
        <v>60036046.306671992</v>
      </c>
      <c r="I964" s="43">
        <v>15</v>
      </c>
      <c r="J964" s="200">
        <f t="shared" si="241"/>
        <v>44592385.193555355</v>
      </c>
      <c r="K964" s="200">
        <f t="shared" si="242"/>
        <v>36055033.163223699</v>
      </c>
      <c r="L964" s="324">
        <f t="shared" si="243"/>
        <v>8537352.0303316563</v>
      </c>
      <c r="M964" s="70"/>
    </row>
    <row r="965" spans="1:13" x14ac:dyDescent="0.25">
      <c r="A965" s="43">
        <v>16</v>
      </c>
      <c r="B965" s="69">
        <f t="shared" si="237"/>
        <v>144.42357951889085</v>
      </c>
      <c r="C965" s="95">
        <f t="shared" si="238"/>
        <v>45930156.749362007</v>
      </c>
      <c r="D965" s="95">
        <f t="shared" si="239"/>
        <v>48557641.667687647</v>
      </c>
      <c r="E965" s="95">
        <f t="shared" si="240"/>
        <v>61837127.695872135</v>
      </c>
      <c r="I965" s="43">
        <v>16</v>
      </c>
      <c r="J965" s="200">
        <f t="shared" si="241"/>
        <v>45930156.749362007</v>
      </c>
      <c r="K965" s="200">
        <f t="shared" si="242"/>
        <v>37136684.158120401</v>
      </c>
      <c r="L965" s="324">
        <f t="shared" si="243"/>
        <v>8793472.5912416056</v>
      </c>
      <c r="M965" s="70"/>
    </row>
    <row r="966" spans="1:13" x14ac:dyDescent="0.25">
      <c r="A966" s="43">
        <v>17</v>
      </c>
      <c r="B966" s="69">
        <f t="shared" si="237"/>
        <v>148.75628690445757</v>
      </c>
      <c r="C966" s="95">
        <f t="shared" si="238"/>
        <v>47308061.451842874</v>
      </c>
      <c r="D966" s="95">
        <f t="shared" si="239"/>
        <v>50014370.917718276</v>
      </c>
      <c r="E966" s="95">
        <f t="shared" si="240"/>
        <v>63692241.526748307</v>
      </c>
      <c r="I966" s="43">
        <v>17</v>
      </c>
      <c r="J966" s="200">
        <f>IF($B$20="P",C966,IF($B$20="L",D966,IF($B$20="M",E966)))</f>
        <v>47308061.451842874</v>
      </c>
      <c r="K966" s="200">
        <f t="shared" si="242"/>
        <v>38250784.682864018</v>
      </c>
      <c r="L966" s="324">
        <f t="shared" si="243"/>
        <v>9057276.7689788565</v>
      </c>
      <c r="M966" s="70"/>
    </row>
    <row r="967" spans="1:13" x14ac:dyDescent="0.25">
      <c r="A967" s="43">
        <v>18</v>
      </c>
      <c r="B967" s="69">
        <f t="shared" si="237"/>
        <v>153.21897551159128</v>
      </c>
      <c r="C967" s="95">
        <f t="shared" si="238"/>
        <v>48727303.295398153</v>
      </c>
      <c r="D967" s="95">
        <f t="shared" si="239"/>
        <v>51514802.04524982</v>
      </c>
      <c r="E967" s="95">
        <f t="shared" si="240"/>
        <v>65603008.772550747</v>
      </c>
      <c r="I967" s="43">
        <v>18</v>
      </c>
      <c r="J967" s="200">
        <f t="shared" ref="J967:J981" si="244">IF($B$20="P",C967,IF($B$20="L",D967,IF($B$20="M",E967)))</f>
        <v>48727303.295398153</v>
      </c>
      <c r="K967" s="200">
        <f t="shared" si="242"/>
        <v>39398308.223349929</v>
      </c>
      <c r="L967" s="324">
        <f t="shared" si="243"/>
        <v>9328995.0720482245</v>
      </c>
      <c r="M967" s="70"/>
    </row>
    <row r="968" spans="1:13" x14ac:dyDescent="0.25">
      <c r="A968" s="43">
        <v>19</v>
      </c>
      <c r="B968" s="69">
        <f t="shared" si="237"/>
        <v>157.81554477693902</v>
      </c>
      <c r="C968" s="95">
        <f t="shared" si="238"/>
        <v>50189122.394260101</v>
      </c>
      <c r="D968" s="95">
        <f t="shared" si="239"/>
        <v>53060246.106607318</v>
      </c>
      <c r="E968" s="95">
        <f t="shared" si="240"/>
        <v>67571099.035727277</v>
      </c>
      <c r="I968" s="43">
        <v>19</v>
      </c>
      <c r="J968" s="200">
        <f t="shared" si="244"/>
        <v>50189122.394260101</v>
      </c>
      <c r="K968" s="200">
        <f t="shared" si="242"/>
        <v>40580257.470050424</v>
      </c>
      <c r="L968" s="324">
        <f t="shared" si="243"/>
        <v>9608864.9242096767</v>
      </c>
      <c r="M968" s="70"/>
    </row>
    <row r="969" spans="1:13" x14ac:dyDescent="0.25">
      <c r="A969" s="43">
        <v>20</v>
      </c>
      <c r="B969" s="69">
        <f t="shared" si="237"/>
        <v>162.55001112024721</v>
      </c>
      <c r="C969" s="95">
        <f t="shared" si="238"/>
        <v>51694796.066087902</v>
      </c>
      <c r="D969" s="95">
        <f t="shared" si="239"/>
        <v>54652053.489805534</v>
      </c>
      <c r="E969" s="95">
        <f t="shared" si="240"/>
        <v>69598232.006799087</v>
      </c>
      <c r="I969" s="43">
        <v>20</v>
      </c>
      <c r="J969" s="200">
        <f t="shared" si="244"/>
        <v>51694796.066087902</v>
      </c>
      <c r="K969" s="200">
        <f t="shared" si="242"/>
        <v>41797665.194151945</v>
      </c>
      <c r="L969" s="324">
        <f t="shared" si="243"/>
        <v>9897130.8719359562</v>
      </c>
      <c r="M969" s="70"/>
    </row>
    <row r="970" spans="1:13" x14ac:dyDescent="0.25">
      <c r="A970" s="43">
        <v>21</v>
      </c>
      <c r="B970" s="69">
        <f t="shared" si="237"/>
        <v>167.42651145385457</v>
      </c>
      <c r="C970" s="95">
        <f t="shared" si="238"/>
        <v>53245639.948070526</v>
      </c>
      <c r="D970" s="95">
        <f t="shared" si="239"/>
        <v>56291615.094499692</v>
      </c>
      <c r="E970" s="95">
        <f t="shared" si="240"/>
        <v>71686178.967003047</v>
      </c>
      <c r="I970" s="43">
        <v>21</v>
      </c>
      <c r="J970" s="200">
        <f t="shared" si="244"/>
        <v>53245639.948070526</v>
      </c>
      <c r="K970" s="200">
        <f t="shared" si="242"/>
        <v>43051595.149976492</v>
      </c>
      <c r="L970" s="324">
        <f t="shared" si="243"/>
        <v>10194044.798094034</v>
      </c>
      <c r="M970" s="70"/>
    </row>
    <row r="971" spans="1:13" x14ac:dyDescent="0.25">
      <c r="A971" s="43">
        <v>22</v>
      </c>
      <c r="B971" s="69">
        <f t="shared" si="237"/>
        <v>172.44930679747023</v>
      </c>
      <c r="C971" s="95">
        <f t="shared" si="238"/>
        <v>54843009.146512643</v>
      </c>
      <c r="D971" s="95">
        <f t="shared" si="239"/>
        <v>57980363.547334678</v>
      </c>
      <c r="E971" s="95">
        <f t="shared" si="240"/>
        <v>73836764.336013138</v>
      </c>
      <c r="I971" s="43">
        <v>22</v>
      </c>
      <c r="J971" s="200">
        <f t="shared" si="244"/>
        <v>54843009.146512643</v>
      </c>
      <c r="K971" s="200">
        <f t="shared" si="242"/>
        <v>44343143.004475795</v>
      </c>
      <c r="L971" s="324">
        <f t="shared" si="243"/>
        <v>10499866.142036848</v>
      </c>
      <c r="M971" s="70"/>
    </row>
    <row r="972" spans="1:13" x14ac:dyDescent="0.25">
      <c r="A972" s="43">
        <v>23</v>
      </c>
      <c r="B972" s="69">
        <f t="shared" si="237"/>
        <v>177.62278600139436</v>
      </c>
      <c r="C972" s="95">
        <f t="shared" si="238"/>
        <v>56488299.420908026</v>
      </c>
      <c r="D972" s="95">
        <f t="shared" si="239"/>
        <v>59719774.453754723</v>
      </c>
      <c r="E972" s="95">
        <f t="shared" si="240"/>
        <v>76051867.266093537</v>
      </c>
      <c r="I972" s="43">
        <v>23</v>
      </c>
      <c r="J972" s="200">
        <f t="shared" si="244"/>
        <v>56488299.420908026</v>
      </c>
      <c r="K972" s="200">
        <f t="shared" si="242"/>
        <v>45673437.294610061</v>
      </c>
      <c r="L972" s="324">
        <f t="shared" si="243"/>
        <v>10814862.126297966</v>
      </c>
      <c r="M972" s="70"/>
    </row>
    <row r="973" spans="1:13" x14ac:dyDescent="0.25">
      <c r="A973" s="43">
        <v>24</v>
      </c>
      <c r="B973" s="69">
        <f t="shared" si="237"/>
        <v>182.95146958143616</v>
      </c>
      <c r="C973" s="95">
        <f t="shared" si="238"/>
        <v>58182948.403535254</v>
      </c>
      <c r="D973" s="95">
        <f t="shared" si="239"/>
        <v>61511367.68736735</v>
      </c>
      <c r="E973" s="95">
        <f t="shared" si="240"/>
        <v>78333423.284076333</v>
      </c>
      <c r="I973" s="43">
        <v>24</v>
      </c>
      <c r="J973" s="200">
        <f t="shared" si="244"/>
        <v>58182948.403535254</v>
      </c>
      <c r="K973" s="200">
        <f t="shared" si="242"/>
        <v>47043640.413448364</v>
      </c>
      <c r="L973" s="324">
        <f t="shared" si="243"/>
        <v>11139307.990086891</v>
      </c>
      <c r="M973" s="70"/>
    </row>
    <row r="974" spans="1:13" x14ac:dyDescent="0.25">
      <c r="A974" s="43">
        <v>25</v>
      </c>
      <c r="B974" s="69">
        <f t="shared" si="237"/>
        <v>188.44001366887923</v>
      </c>
      <c r="C974" s="95">
        <f t="shared" si="238"/>
        <v>59928436.85564132</v>
      </c>
      <c r="D974" s="95">
        <f t="shared" si="239"/>
        <v>63356708.717988379</v>
      </c>
      <c r="E974" s="95">
        <f t="shared" si="240"/>
        <v>80683425.982598633</v>
      </c>
      <c r="I974" s="43">
        <v>25</v>
      </c>
      <c r="J974" s="200">
        <f t="shared" si="244"/>
        <v>59928436.85564132</v>
      </c>
      <c r="K974" s="200">
        <f t="shared" si="242"/>
        <v>48454949.62585181</v>
      </c>
      <c r="L974" s="324">
        <f t="shared" si="243"/>
        <v>11473487.22978951</v>
      </c>
      <c r="M974" s="70"/>
    </row>
    <row r="975" spans="1:13" x14ac:dyDescent="0.25">
      <c r="A975" s="43">
        <v>26</v>
      </c>
      <c r="B975" s="69">
        <f t="shared" si="237"/>
        <v>194.09321407894566</v>
      </c>
      <c r="C975" s="95">
        <f t="shared" si="238"/>
        <v>61726289.961310588</v>
      </c>
      <c r="D975" s="95">
        <f t="shared" si="239"/>
        <v>65257409.979528062</v>
      </c>
      <c r="E975" s="95">
        <f t="shared" si="240"/>
        <v>83103928.762076616</v>
      </c>
      <c r="I975" s="43">
        <v>26</v>
      </c>
      <c r="J975" s="200">
        <f t="shared" si="244"/>
        <v>61726289.961310588</v>
      </c>
      <c r="K975" s="200">
        <f t="shared" si="242"/>
        <v>49908598.114627376</v>
      </c>
      <c r="L975" s="324">
        <f t="shared" si="243"/>
        <v>11817691.846683212</v>
      </c>
      <c r="M975" s="70"/>
    </row>
    <row r="976" spans="1:13" x14ac:dyDescent="0.25">
      <c r="A976" s="43">
        <v>27</v>
      </c>
      <c r="B976" s="69">
        <f t="shared" si="237"/>
        <v>199.91601050131399</v>
      </c>
      <c r="C976" s="95">
        <f t="shared" si="238"/>
        <v>63578078.66014988</v>
      </c>
      <c r="D976" s="95">
        <f t="shared" si="239"/>
        <v>67215132.27891387</v>
      </c>
      <c r="E976" s="95">
        <f t="shared" si="240"/>
        <v>85597046.62493889</v>
      </c>
      <c r="I976" s="43">
        <v>27</v>
      </c>
      <c r="J976" s="200">
        <f t="shared" si="244"/>
        <v>63578078.66014988</v>
      </c>
      <c r="K976" s="200">
        <f t="shared" si="242"/>
        <v>51405856.058066189</v>
      </c>
      <c r="L976" s="324">
        <f t="shared" si="243"/>
        <v>12172222.60208369</v>
      </c>
      <c r="M976" s="70"/>
    </row>
    <row r="977" spans="1:15" x14ac:dyDescent="0.25">
      <c r="A977" s="43">
        <v>28</v>
      </c>
      <c r="B977" s="69">
        <f t="shared" si="237"/>
        <v>205.91349081635343</v>
      </c>
      <c r="C977" s="95">
        <f t="shared" si="238"/>
        <v>65485421.019954376</v>
      </c>
      <c r="D977" s="95">
        <f t="shared" si="239"/>
        <v>69231586.247281298</v>
      </c>
      <c r="E977" s="95">
        <f t="shared" si="240"/>
        <v>88164958.02368705</v>
      </c>
      <c r="I977" s="43">
        <v>28</v>
      </c>
      <c r="J977" s="200">
        <f t="shared" si="244"/>
        <v>65485421.019954376</v>
      </c>
      <c r="K977" s="200">
        <f t="shared" si="242"/>
        <v>52948031.739808179</v>
      </c>
      <c r="L977" s="324">
        <f t="shared" si="243"/>
        <v>12537389.280146196</v>
      </c>
      <c r="M977" s="70"/>
    </row>
    <row r="978" spans="1:15" x14ac:dyDescent="0.25">
      <c r="A978" s="43">
        <v>29</v>
      </c>
      <c r="B978" s="69">
        <f t="shared" si="237"/>
        <v>212.090895540844</v>
      </c>
      <c r="C978" s="95">
        <f t="shared" si="238"/>
        <v>67449983.650553003</v>
      </c>
      <c r="D978" s="95">
        <f t="shared" si="239"/>
        <v>71308533.83469972</v>
      </c>
      <c r="E978" s="95">
        <f t="shared" si="240"/>
        <v>90809906.764397666</v>
      </c>
      <c r="I978" s="43">
        <v>29</v>
      </c>
      <c r="J978" s="200">
        <f t="shared" si="244"/>
        <v>67449983.650553003</v>
      </c>
      <c r="K978" s="200">
        <f t="shared" si="242"/>
        <v>54536472.692002416</v>
      </c>
      <c r="L978" s="324">
        <f t="shared" si="243"/>
        <v>12913510.958550587</v>
      </c>
      <c r="M978" s="70"/>
    </row>
    <row r="979" spans="1:15" x14ac:dyDescent="0.25">
      <c r="A979" s="43">
        <v>30</v>
      </c>
      <c r="B979" s="69">
        <f t="shared" si="237"/>
        <v>218.45362240706933</v>
      </c>
      <c r="C979" s="95">
        <f t="shared" si="238"/>
        <v>69473483.1600696</v>
      </c>
      <c r="D979" s="95">
        <f t="shared" si="239"/>
        <v>73447789.849740729</v>
      </c>
      <c r="E979" s="95">
        <f t="shared" si="240"/>
        <v>93534203.967329592</v>
      </c>
      <c r="I979" s="43">
        <v>30</v>
      </c>
      <c r="J979" s="200">
        <f t="shared" si="244"/>
        <v>69473483.1600696</v>
      </c>
      <c r="K979" s="200">
        <f t="shared" si="242"/>
        <v>56172566.872762501</v>
      </c>
      <c r="L979" s="324">
        <f t="shared" si="243"/>
        <v>13300916.287307099</v>
      </c>
      <c r="M979" s="70"/>
    </row>
    <row r="980" spans="1:15" x14ac:dyDescent="0.25">
      <c r="A980" s="43">
        <v>31</v>
      </c>
      <c r="B980" s="69">
        <f t="shared" si="237"/>
        <v>225.00723107928144</v>
      </c>
      <c r="C980" s="95">
        <f t="shared" si="238"/>
        <v>71557687.654871687</v>
      </c>
      <c r="D980" s="95">
        <f t="shared" si="239"/>
        <v>75651223.545232952</v>
      </c>
      <c r="E980" s="95">
        <f t="shared" si="240"/>
        <v>96340230.086349502</v>
      </c>
      <c r="I980" s="43">
        <v>31</v>
      </c>
      <c r="J980" s="200">
        <f t="shared" si="244"/>
        <v>71557687.654871687</v>
      </c>
      <c r="K980" s="200">
        <f t="shared" si="242"/>
        <v>57857743.87894538</v>
      </c>
      <c r="L980" s="324">
        <f t="shared" si="243"/>
        <v>13699943.775926307</v>
      </c>
    </row>
    <row r="981" spans="1:15" x14ac:dyDescent="0.25">
      <c r="A981" s="43">
        <v>32</v>
      </c>
      <c r="B981" s="69">
        <f t="shared" si="237"/>
        <v>231.75744801165985</v>
      </c>
      <c r="C981" s="95">
        <f t="shared" si="238"/>
        <v>73704418.284517825</v>
      </c>
      <c r="D981" s="95">
        <f t="shared" si="239"/>
        <v>77920760.251589924</v>
      </c>
      <c r="E981" s="95">
        <f t="shared" si="240"/>
        <v>99230436.988939971</v>
      </c>
      <c r="I981" s="43">
        <v>32</v>
      </c>
      <c r="J981" s="200">
        <f t="shared" si="244"/>
        <v>73704418.284517825</v>
      </c>
      <c r="K981" s="200">
        <f t="shared" si="242"/>
        <v>59593476.195313737</v>
      </c>
      <c r="L981" s="324">
        <f t="shared" si="243"/>
        <v>14110942.089204088</v>
      </c>
    </row>
    <row r="983" spans="1:15" x14ac:dyDescent="0.25">
      <c r="A983" t="s">
        <v>50</v>
      </c>
    </row>
    <row r="984" spans="1:15" x14ac:dyDescent="0.25">
      <c r="A984" s="269" t="s">
        <v>281</v>
      </c>
    </row>
    <row r="985" spans="1:15" ht="15.75" thickBot="1" x14ac:dyDescent="0.3">
      <c r="A985" s="313" t="s">
        <v>253</v>
      </c>
      <c r="F985" s="285"/>
      <c r="G985" s="285"/>
      <c r="H985" s="285"/>
    </row>
    <row r="986" spans="1:15" ht="16.5" thickTop="1" thickBot="1" x14ac:dyDescent="0.3">
      <c r="A986" s="303" t="s">
        <v>237</v>
      </c>
      <c r="B986" s="276" t="s">
        <v>233</v>
      </c>
      <c r="C986" s="276" t="s">
        <v>234</v>
      </c>
      <c r="D986" s="277" t="s">
        <v>235</v>
      </c>
      <c r="F986" t="s">
        <v>239</v>
      </c>
      <c r="O986" s="47"/>
    </row>
    <row r="987" spans="1:15" x14ac:dyDescent="0.25">
      <c r="A987" s="304">
        <v>2</v>
      </c>
      <c r="B987" s="314">
        <v>73.33</v>
      </c>
      <c r="C987" s="314">
        <v>51.04</v>
      </c>
      <c r="D987" s="315">
        <v>37.880000000000003</v>
      </c>
      <c r="F987" s="284" t="s">
        <v>237</v>
      </c>
      <c r="G987" s="292" t="s">
        <v>233</v>
      </c>
      <c r="H987" s="292" t="s">
        <v>234</v>
      </c>
      <c r="I987" s="293" t="s">
        <v>235</v>
      </c>
      <c r="O987" s="47"/>
    </row>
    <row r="988" spans="1:15" x14ac:dyDescent="0.25">
      <c r="A988" s="304">
        <v>3</v>
      </c>
      <c r="B988" s="306">
        <f>(B987+B989)/2</f>
        <v>71.375</v>
      </c>
      <c r="C988" s="306">
        <f>(C987+C989)/2</f>
        <v>50.58</v>
      </c>
      <c r="D988" s="316">
        <f>(D987+D989)/2</f>
        <v>37.725000000000001</v>
      </c>
      <c r="E988" s="60"/>
      <c r="F988" s="321">
        <v>0</v>
      </c>
      <c r="G988" s="302">
        <f>0.00006*(F988)^3+0.0002*(F988)^2+0.043*(F988)+1.023</f>
        <v>1.0229999999999999</v>
      </c>
      <c r="H988" s="302">
        <f>0.00006*(F988)^3-0.00015*(F988)^2+0.048*(F988)+1.303</f>
        <v>1.3029999999999999</v>
      </c>
      <c r="I988" s="322">
        <f>0.054*(F988)+1.64</f>
        <v>1.64</v>
      </c>
      <c r="J988" s="60"/>
      <c r="O988" s="47"/>
    </row>
    <row r="989" spans="1:15" x14ac:dyDescent="0.25">
      <c r="A989" s="304">
        <v>4</v>
      </c>
      <c r="B989" s="278">
        <v>69.42</v>
      </c>
      <c r="C989" s="278">
        <v>50.12</v>
      </c>
      <c r="D989" s="305">
        <v>37.57</v>
      </c>
      <c r="F989" s="285"/>
      <c r="G989" s="285"/>
      <c r="H989" s="285"/>
      <c r="O989" s="47"/>
    </row>
    <row r="990" spans="1:15" x14ac:dyDescent="0.25">
      <c r="A990" s="304">
        <v>5</v>
      </c>
      <c r="B990" s="306">
        <f>(B989+B991)/2</f>
        <v>64.674999999999997</v>
      </c>
      <c r="C990" s="306">
        <f>(C989+C991)/2</f>
        <v>48.784999999999997</v>
      </c>
      <c r="D990" s="316">
        <f>(D989+D991)/2</f>
        <v>37.164999999999999</v>
      </c>
      <c r="F990" s="285"/>
      <c r="G990" s="285"/>
      <c r="H990" s="285"/>
      <c r="O990" s="47"/>
    </row>
    <row r="991" spans="1:15" x14ac:dyDescent="0.25">
      <c r="A991" s="304">
        <v>6</v>
      </c>
      <c r="B991" s="278">
        <v>59.93</v>
      </c>
      <c r="C991" s="278">
        <v>47.45</v>
      </c>
      <c r="D991" s="305">
        <v>36.76</v>
      </c>
      <c r="F991" s="104" t="s">
        <v>254</v>
      </c>
      <c r="G991" s="104"/>
      <c r="H991" s="310"/>
      <c r="O991" s="47"/>
    </row>
    <row r="992" spans="1:15" x14ac:dyDescent="0.25">
      <c r="A992" s="304">
        <v>7</v>
      </c>
      <c r="B992" s="306">
        <f>(B991+B993)/2</f>
        <v>54.61</v>
      </c>
      <c r="C992" s="306">
        <f>(C991+C993)/2</f>
        <v>45.174999999999997</v>
      </c>
      <c r="D992" s="316">
        <f>(D991+D993)/2</f>
        <v>35.94</v>
      </c>
      <c r="F992" s="35" t="s">
        <v>255</v>
      </c>
      <c r="G992" s="35">
        <v>85</v>
      </c>
      <c r="H992" s="108"/>
      <c r="O992" s="47"/>
    </row>
    <row r="993" spans="1:15" x14ac:dyDescent="0.25">
      <c r="A993" s="304">
        <v>8</v>
      </c>
      <c r="B993" s="278">
        <v>49.29</v>
      </c>
      <c r="C993" s="278">
        <v>42.9</v>
      </c>
      <c r="D993" s="305">
        <v>35.119999999999997</v>
      </c>
      <c r="F993" s="35" t="s">
        <v>282</v>
      </c>
      <c r="G993" s="35">
        <v>73</v>
      </c>
      <c r="H993" s="108"/>
      <c r="O993" s="47"/>
    </row>
    <row r="994" spans="1:15" x14ac:dyDescent="0.25">
      <c r="A994" s="304">
        <v>9</v>
      </c>
      <c r="B994" s="306">
        <f>(B993+B995)/2</f>
        <v>45.019999999999996</v>
      </c>
      <c r="C994" s="306">
        <f>(C993+C995)/2</f>
        <v>40.31</v>
      </c>
      <c r="D994" s="316">
        <f>(D993+D995)/2</f>
        <v>33.909999999999997</v>
      </c>
      <c r="F994" s="35" t="s">
        <v>257</v>
      </c>
      <c r="G994" s="309">
        <f>G993/G992</f>
        <v>0.85882352941176465</v>
      </c>
      <c r="H994" s="108"/>
      <c r="O994" s="47"/>
    </row>
    <row r="995" spans="1:15" x14ac:dyDescent="0.25">
      <c r="A995" s="304">
        <v>10</v>
      </c>
      <c r="B995" s="278">
        <v>40.75</v>
      </c>
      <c r="C995" s="278">
        <v>37.72</v>
      </c>
      <c r="D995" s="305">
        <v>32.700000000000003</v>
      </c>
      <c r="O995" s="47"/>
    </row>
    <row r="996" spans="1:15" x14ac:dyDescent="0.25">
      <c r="A996" s="304">
        <v>11</v>
      </c>
      <c r="B996" s="306">
        <f>(B995+B997)/2</f>
        <v>37.58</v>
      </c>
      <c r="C996" s="306">
        <f>(C995+C997)/2</f>
        <v>35.33</v>
      </c>
      <c r="D996" s="316">
        <f>(D995+D997)/2</f>
        <v>31.305</v>
      </c>
      <c r="F996" s="285"/>
      <c r="G996" s="285"/>
      <c r="H996" s="285"/>
      <c r="O996" s="47"/>
    </row>
    <row r="997" spans="1:15" ht="15.75" thickBot="1" x14ac:dyDescent="0.3">
      <c r="A997" s="307">
        <v>12</v>
      </c>
      <c r="B997" s="283">
        <v>34.409999999999997</v>
      </c>
      <c r="C997" s="283">
        <v>32.94</v>
      </c>
      <c r="D997" s="308">
        <v>29.91</v>
      </c>
      <c r="O997" s="47"/>
    </row>
    <row r="998" spans="1:15" x14ac:dyDescent="0.25">
      <c r="O998" s="47"/>
    </row>
    <row r="999" spans="1:15" x14ac:dyDescent="0.25">
      <c r="K999" s="317"/>
      <c r="L999" s="317"/>
      <c r="M999" s="317"/>
      <c r="N999" s="317"/>
      <c r="O999" s="47"/>
    </row>
    <row r="1000" spans="1:15" x14ac:dyDescent="0.25">
      <c r="A1000" s="239" t="s">
        <v>241</v>
      </c>
      <c r="B1000" s="239"/>
      <c r="K1000" s="45"/>
      <c r="L1000" s="45"/>
      <c r="M1000" s="45"/>
      <c r="N1000" s="45"/>
      <c r="O1000" s="47"/>
    </row>
    <row r="1001" spans="1:15" x14ac:dyDescent="0.25">
      <c r="A1001" t="s">
        <v>283</v>
      </c>
      <c r="C1001" t="s">
        <v>227</v>
      </c>
    </row>
    <row r="1002" spans="1:15" x14ac:dyDescent="0.25">
      <c r="A1002" s="43" t="s">
        <v>228</v>
      </c>
      <c r="B1002" s="43">
        <v>12.46</v>
      </c>
    </row>
    <row r="1003" spans="1:15" x14ac:dyDescent="0.25">
      <c r="A1003" s="43" t="s">
        <v>99</v>
      </c>
      <c r="B1003" s="169" t="str">
        <f>$B$20</f>
        <v>P</v>
      </c>
      <c r="C1003" s="575" t="s">
        <v>229</v>
      </c>
      <c r="D1003" s="575"/>
      <c r="E1003" s="575"/>
      <c r="F1003" s="575" t="s">
        <v>230</v>
      </c>
      <c r="G1003" s="576"/>
      <c r="H1003" s="576"/>
      <c r="I1003" s="575" t="s">
        <v>231</v>
      </c>
      <c r="J1003" s="575"/>
      <c r="K1003" s="575"/>
      <c r="L1003" s="575" t="s">
        <v>240</v>
      </c>
      <c r="M1003" s="575"/>
      <c r="N1003" s="575"/>
    </row>
    <row r="1004" spans="1:15" x14ac:dyDescent="0.25">
      <c r="A1004" s="35" t="s">
        <v>18</v>
      </c>
      <c r="B1004" s="95" t="s">
        <v>20</v>
      </c>
      <c r="C1004" s="270" t="s">
        <v>233</v>
      </c>
      <c r="D1004" s="270" t="s">
        <v>234</v>
      </c>
      <c r="E1004" s="270" t="s">
        <v>235</v>
      </c>
      <c r="F1004" s="270" t="s">
        <v>233</v>
      </c>
      <c r="G1004" s="270" t="s">
        <v>234</v>
      </c>
      <c r="H1004" s="270" t="s">
        <v>235</v>
      </c>
      <c r="I1004" s="270" t="s">
        <v>233</v>
      </c>
      <c r="J1004" s="270" t="s">
        <v>234</v>
      </c>
      <c r="K1004" s="270" t="s">
        <v>235</v>
      </c>
      <c r="L1004" s="270" t="s">
        <v>233</v>
      </c>
      <c r="M1004" s="270" t="s">
        <v>234</v>
      </c>
      <c r="N1004" s="270" t="s">
        <v>235</v>
      </c>
    </row>
    <row r="1005" spans="1:15" x14ac:dyDescent="0.25">
      <c r="A1005" s="271">
        <v>0</v>
      </c>
      <c r="B1005" s="272">
        <f>'DATOS DE ENTRADA'!H38*$G$994</f>
        <v>74.380800926776956</v>
      </c>
      <c r="C1005" s="273">
        <f>B1005</f>
        <v>74.380800926776956</v>
      </c>
      <c r="D1005" s="273">
        <f>C1005</f>
        <v>74.380800926776956</v>
      </c>
      <c r="E1005" s="273">
        <f>D1005</f>
        <v>74.380800926776956</v>
      </c>
      <c r="F1005" s="266">
        <f>IF(C1005&gt;$B$987,2,IF(C1005&gt;$B$988,3,IF(C1005&gt;$B$989,4,IF(C1005&gt;$B$990,5,IF(C1005&gt;$B$991,6,IF(C1005&gt;$B$992,7,IF(C1005&gt;$B$993,8,IF(C1005&gt;$B$994,9,IF(C1005&gt;$B$995,10,IF(C1005&gt;$B$996,11,IF(C1005&gt;$B$997,12,12)))))))))))</f>
        <v>2</v>
      </c>
      <c r="G1005" s="266">
        <f>IF(D1005&gt;$C$987,2,IF(D1005&gt;$C$988,3,IF(D1005&gt;$C$989,4,IF(D1005&gt;$C$990,5,IF(D1005&gt;$C$991,6,IF(D1005&gt;$C$992,7,IF(D1005&gt;$C$993,8,IF(D1005&gt;$C$994,9,IF(D1005&gt;$C$995,10,IF(D1005&gt;$C$996,11,IF(D1005&gt;$C$997,12,12)))))))))))</f>
        <v>2</v>
      </c>
      <c r="H1005" s="266">
        <f>IF(E1005&gt;$D$987,2,IF(E1005&gt;$D$988,3,IF(E1005&gt;$D$989,4,IF(E1005&gt;$D$990,5,IF(E1005&gt;$D$991,6,IF(E1005&gt;$D$992,7,IF(E1005&gt;$D$993,8,IF(E1005&gt;$D$994,9,IF(E1005&gt;$D$995,10,IF(E1005&gt;$D$996,11,IF(E1005&gt;$D$997,12,12)))))))))))</f>
        <v>2</v>
      </c>
      <c r="I1005" s="312">
        <f>0.00006*(F1005)^3+0.0002*(F1005)^2+0.043*(F1005)+1.023</f>
        <v>1.1102799999999999</v>
      </c>
      <c r="J1005" s="312">
        <f>0.00006*(G1005)^3-0.00015*(G1005)^2+0.048*(G1005)+1.303</f>
        <v>1.3988799999999999</v>
      </c>
      <c r="K1005" s="323">
        <f>0.054*(H1005)+1.64</f>
        <v>1.748</v>
      </c>
      <c r="L1005" s="204">
        <f>I1005*$B$1002</f>
        <v>13.8340888</v>
      </c>
      <c r="M1005" s="204">
        <f>J1005*$B$1002</f>
        <v>17.430044800000001</v>
      </c>
      <c r="N1005" s="204">
        <f>K1005*$B$1002</f>
        <v>21.780080000000002</v>
      </c>
    </row>
    <row r="1006" spans="1:15" x14ac:dyDescent="0.25">
      <c r="A1006" s="271">
        <v>1</v>
      </c>
      <c r="B1006" s="272">
        <f>'DATOS DE ENTRADA'!H39*$G$994</f>
        <v>74.253732366344977</v>
      </c>
      <c r="C1006" s="273">
        <f t="shared" ref="C1006:C1037" si="245">B1006</f>
        <v>74.253732366344977</v>
      </c>
      <c r="D1006" s="311">
        <f>C1006</f>
        <v>74.253732366344977</v>
      </c>
      <c r="E1006" s="311">
        <f>D1006</f>
        <v>74.253732366344977</v>
      </c>
      <c r="F1006" s="266">
        <f t="shared" ref="F1006:F1037" si="246">IF(C1006&gt;$B$987,2,IF(C1006&gt;$B$988,3,IF(C1006&gt;$B$989,4,IF(C1006&gt;$B$990,5,IF(C1006&gt;$B$991,6,IF(C1006&gt;$B$992,7,IF(C1006&gt;$B$993,8,IF(C1006&gt;$B$994,9,IF(C1006&gt;$B$995,10,IF(C1006&gt;$B$996,11,IF(C1006&gt;$B$997,12,12)))))))))))</f>
        <v>2</v>
      </c>
      <c r="G1006" s="266">
        <f t="shared" ref="G1006:G1037" si="247">IF(D1006&gt;$C$987,2,IF(D1006&gt;$C$988,3,IF(D1006&gt;$C$989,4,IF(D1006&gt;$C$990,5,IF(D1006&gt;$C$991,6,IF(D1006&gt;$C$992,7,IF(D1006&gt;$C$993,8,IF(D1006&gt;$C$994,9,IF(D1006&gt;$C$995,10,IF(D1006&gt;$C$996,11,IF(D1006&gt;$C$997,12,12)))))))))))</f>
        <v>2</v>
      </c>
      <c r="H1006" s="266">
        <f t="shared" ref="H1006:H1037" si="248">IF(E1006&gt;$D$987,2,IF(E1006&gt;$D$988,3,IF(E1006&gt;$D$989,4,IF(E1006&gt;$D$990,5,IF(E1006&gt;$D$991,6,IF(E1006&gt;$D$992,7,IF(E1006&gt;$D$993,8,IF(E1006&gt;$D$994,9,IF(E1006&gt;$D$995,10,IF(E1006&gt;$D$996,11,IF(E1006&gt;$D$997,12,12)))))))))))</f>
        <v>2</v>
      </c>
      <c r="I1006" s="312">
        <f t="shared" ref="I1006:I1035" si="249">0.00006*(F1006)^3+0.0002*(F1006)^2+0.043*(F1006)+1.023</f>
        <v>1.1102799999999999</v>
      </c>
      <c r="J1006" s="312">
        <f t="shared" ref="J1006:J1035" si="250">0.00006*(G1006)^3-0.00015*(G1006)^2+0.048*(G1006)+1.303</f>
        <v>1.3988799999999999</v>
      </c>
      <c r="K1006" s="323">
        <f t="shared" ref="K1006:K1035" si="251">0.054*(H1006)+1.64</f>
        <v>1.748</v>
      </c>
      <c r="L1006" s="204">
        <f t="shared" ref="L1006:L1035" si="252">I1006*$B$1002</f>
        <v>13.8340888</v>
      </c>
      <c r="M1006" s="204">
        <f t="shared" ref="M1006:M1035" si="253">J1006*$B$1002</f>
        <v>17.430044800000001</v>
      </c>
      <c r="N1006" s="204">
        <f t="shared" ref="N1006:N1035" si="254">K1006*$B$1002</f>
        <v>21.780080000000002</v>
      </c>
    </row>
    <row r="1007" spans="1:15" x14ac:dyDescent="0.25">
      <c r="A1007" s="271">
        <v>2</v>
      </c>
      <c r="B1007" s="272">
        <f>'DATOS DE ENTRADA'!H40*$G$994</f>
        <v>74.122851749100022</v>
      </c>
      <c r="C1007" s="273">
        <f t="shared" si="245"/>
        <v>74.122851749100022</v>
      </c>
      <c r="D1007" s="273">
        <f>C1007</f>
        <v>74.122851749100022</v>
      </c>
      <c r="E1007" s="273">
        <f>D1007</f>
        <v>74.122851749100022</v>
      </c>
      <c r="F1007" s="266">
        <f t="shared" si="246"/>
        <v>2</v>
      </c>
      <c r="G1007" s="266">
        <f t="shared" si="247"/>
        <v>2</v>
      </c>
      <c r="H1007" s="266">
        <f t="shared" si="248"/>
        <v>2</v>
      </c>
      <c r="I1007" s="312">
        <f t="shared" si="249"/>
        <v>1.1102799999999999</v>
      </c>
      <c r="J1007" s="312">
        <f t="shared" si="250"/>
        <v>1.3988799999999999</v>
      </c>
      <c r="K1007" s="323">
        <f t="shared" si="251"/>
        <v>1.748</v>
      </c>
      <c r="L1007" s="204">
        <f t="shared" si="252"/>
        <v>13.8340888</v>
      </c>
      <c r="M1007" s="204">
        <f t="shared" si="253"/>
        <v>17.430044800000001</v>
      </c>
      <c r="N1007" s="204">
        <f t="shared" si="254"/>
        <v>21.780080000000002</v>
      </c>
    </row>
    <row r="1008" spans="1:15" x14ac:dyDescent="0.25">
      <c r="A1008" s="271">
        <v>3</v>
      </c>
      <c r="B1008" s="272">
        <f>'DATOS DE ENTRADA'!H41*$G$994</f>
        <v>74.037748435066248</v>
      </c>
      <c r="C1008" s="273">
        <f t="shared" si="245"/>
        <v>74.037748435066248</v>
      </c>
      <c r="D1008" s="273">
        <f t="shared" ref="D1008:D1035" si="255">C1008</f>
        <v>74.037748435066248</v>
      </c>
      <c r="E1008" s="273">
        <f t="shared" ref="E1008:E1035" si="256">D1008</f>
        <v>74.037748435066248</v>
      </c>
      <c r="F1008" s="266">
        <f t="shared" si="246"/>
        <v>2</v>
      </c>
      <c r="G1008" s="266">
        <f t="shared" si="247"/>
        <v>2</v>
      </c>
      <c r="H1008" s="266">
        <f t="shared" si="248"/>
        <v>2</v>
      </c>
      <c r="I1008" s="312">
        <f t="shared" si="249"/>
        <v>1.1102799999999999</v>
      </c>
      <c r="J1008" s="312">
        <f t="shared" si="250"/>
        <v>1.3988799999999999</v>
      </c>
      <c r="K1008" s="323">
        <f t="shared" si="251"/>
        <v>1.748</v>
      </c>
      <c r="L1008" s="204">
        <f t="shared" si="252"/>
        <v>13.8340888</v>
      </c>
      <c r="M1008" s="204">
        <f t="shared" si="253"/>
        <v>17.430044800000001</v>
      </c>
      <c r="N1008" s="204">
        <f t="shared" si="254"/>
        <v>21.780080000000002</v>
      </c>
    </row>
    <row r="1009" spans="1:14" x14ac:dyDescent="0.25">
      <c r="A1009" s="271">
        <v>4</v>
      </c>
      <c r="B1009" s="272">
        <f>'DATOS DE ENTRADA'!H42*$G$994</f>
        <v>73.899357711647653</v>
      </c>
      <c r="C1009" s="273">
        <f t="shared" si="245"/>
        <v>73.899357711647653</v>
      </c>
      <c r="D1009" s="273">
        <f t="shared" si="255"/>
        <v>73.899357711647653</v>
      </c>
      <c r="E1009" s="273">
        <f t="shared" si="256"/>
        <v>73.899357711647653</v>
      </c>
      <c r="F1009" s="266">
        <f t="shared" si="246"/>
        <v>2</v>
      </c>
      <c r="G1009" s="266">
        <f t="shared" si="247"/>
        <v>2</v>
      </c>
      <c r="H1009" s="266">
        <f t="shared" si="248"/>
        <v>2</v>
      </c>
      <c r="I1009" s="312">
        <f t="shared" si="249"/>
        <v>1.1102799999999999</v>
      </c>
      <c r="J1009" s="312">
        <f t="shared" si="250"/>
        <v>1.3988799999999999</v>
      </c>
      <c r="K1009" s="323">
        <f t="shared" si="251"/>
        <v>1.748</v>
      </c>
      <c r="L1009" s="204">
        <f t="shared" si="252"/>
        <v>13.8340888</v>
      </c>
      <c r="M1009" s="204">
        <f t="shared" si="253"/>
        <v>17.430044800000001</v>
      </c>
      <c r="N1009" s="204">
        <f t="shared" si="254"/>
        <v>21.780080000000002</v>
      </c>
    </row>
    <row r="1010" spans="1:14" x14ac:dyDescent="0.25">
      <c r="A1010" s="271">
        <v>5</v>
      </c>
      <c r="B1010" s="272">
        <f>'DATOS DE ENTRADA'!H43*$G$994</f>
        <v>73.756815266526502</v>
      </c>
      <c r="C1010" s="273">
        <f t="shared" si="245"/>
        <v>73.756815266526502</v>
      </c>
      <c r="D1010" s="273">
        <f t="shared" si="255"/>
        <v>73.756815266526502</v>
      </c>
      <c r="E1010" s="273">
        <f t="shared" si="256"/>
        <v>73.756815266526502</v>
      </c>
      <c r="F1010" s="266">
        <f t="shared" si="246"/>
        <v>2</v>
      </c>
      <c r="G1010" s="266">
        <f t="shared" si="247"/>
        <v>2</v>
      </c>
      <c r="H1010" s="266">
        <f t="shared" si="248"/>
        <v>2</v>
      </c>
      <c r="I1010" s="312">
        <f t="shared" si="249"/>
        <v>1.1102799999999999</v>
      </c>
      <c r="J1010" s="312">
        <f t="shared" si="250"/>
        <v>1.3988799999999999</v>
      </c>
      <c r="K1010" s="323">
        <f t="shared" si="251"/>
        <v>1.748</v>
      </c>
      <c r="L1010" s="204">
        <f t="shared" si="252"/>
        <v>13.8340888</v>
      </c>
      <c r="M1010" s="204">
        <f>J1010*$B$1002</f>
        <v>17.430044800000001</v>
      </c>
      <c r="N1010" s="204">
        <f t="shared" si="254"/>
        <v>21.780080000000002</v>
      </c>
    </row>
    <row r="1011" spans="1:14" x14ac:dyDescent="0.25">
      <c r="A1011" s="271">
        <v>6</v>
      </c>
      <c r="B1011" s="272">
        <f>'DATOS DE ENTRADA'!H44*$G$994</f>
        <v>73.609996548051697</v>
      </c>
      <c r="C1011" s="273">
        <f t="shared" si="245"/>
        <v>73.609996548051697</v>
      </c>
      <c r="D1011" s="273">
        <f t="shared" si="255"/>
        <v>73.609996548051697</v>
      </c>
      <c r="E1011" s="273">
        <f t="shared" si="256"/>
        <v>73.609996548051697</v>
      </c>
      <c r="F1011" s="266">
        <f t="shared" si="246"/>
        <v>2</v>
      </c>
      <c r="G1011" s="266">
        <f t="shared" si="247"/>
        <v>2</v>
      </c>
      <c r="H1011" s="266">
        <f t="shared" si="248"/>
        <v>2</v>
      </c>
      <c r="I1011" s="312">
        <f t="shared" si="249"/>
        <v>1.1102799999999999</v>
      </c>
      <c r="J1011" s="312">
        <f t="shared" si="250"/>
        <v>1.3988799999999999</v>
      </c>
      <c r="K1011" s="323">
        <f t="shared" si="251"/>
        <v>1.748</v>
      </c>
      <c r="L1011" s="204">
        <f t="shared" si="252"/>
        <v>13.8340888</v>
      </c>
      <c r="M1011" s="204">
        <f t="shared" si="253"/>
        <v>17.430044800000001</v>
      </c>
      <c r="N1011" s="204">
        <f t="shared" si="254"/>
        <v>21.780080000000002</v>
      </c>
    </row>
    <row r="1012" spans="1:14" x14ac:dyDescent="0.25">
      <c r="A1012" s="271">
        <v>7</v>
      </c>
      <c r="B1012" s="272">
        <f>'DATOS DE ENTRADA'!H45*$G$994</f>
        <v>73.458773268022654</v>
      </c>
      <c r="C1012" s="273">
        <f t="shared" si="245"/>
        <v>73.458773268022654</v>
      </c>
      <c r="D1012" s="273">
        <f t="shared" si="255"/>
        <v>73.458773268022654</v>
      </c>
      <c r="E1012" s="273">
        <f t="shared" si="256"/>
        <v>73.458773268022654</v>
      </c>
      <c r="F1012" s="266">
        <f t="shared" si="246"/>
        <v>2</v>
      </c>
      <c r="G1012" s="266">
        <f t="shared" si="247"/>
        <v>2</v>
      </c>
      <c r="H1012" s="266">
        <f t="shared" si="248"/>
        <v>2</v>
      </c>
      <c r="I1012" s="312">
        <f t="shared" si="249"/>
        <v>1.1102799999999999</v>
      </c>
      <c r="J1012" s="312">
        <f t="shared" si="250"/>
        <v>1.3988799999999999</v>
      </c>
      <c r="K1012" s="323">
        <f t="shared" si="251"/>
        <v>1.748</v>
      </c>
      <c r="L1012" s="204">
        <f t="shared" si="252"/>
        <v>13.8340888</v>
      </c>
      <c r="M1012" s="204">
        <f t="shared" si="253"/>
        <v>17.430044800000001</v>
      </c>
      <c r="N1012" s="204">
        <f t="shared" si="254"/>
        <v>21.780080000000002</v>
      </c>
    </row>
    <row r="1013" spans="1:14" x14ac:dyDescent="0.25">
      <c r="A1013" s="271">
        <v>8</v>
      </c>
      <c r="B1013" s="272">
        <f>'DATOS DE ENTRADA'!H46*$G$994</f>
        <v>73.303013289592755</v>
      </c>
      <c r="C1013" s="273">
        <f t="shared" si="245"/>
        <v>73.303013289592755</v>
      </c>
      <c r="D1013" s="273">
        <f t="shared" si="255"/>
        <v>73.303013289592755</v>
      </c>
      <c r="E1013" s="273">
        <f t="shared" si="256"/>
        <v>73.303013289592755</v>
      </c>
      <c r="F1013" s="266">
        <f t="shared" si="246"/>
        <v>3</v>
      </c>
      <c r="G1013" s="266">
        <f t="shared" si="247"/>
        <v>2</v>
      </c>
      <c r="H1013" s="266">
        <f t="shared" si="248"/>
        <v>2</v>
      </c>
      <c r="I1013" s="312">
        <f t="shared" si="249"/>
        <v>1.1554199999999999</v>
      </c>
      <c r="J1013" s="312">
        <f t="shared" si="250"/>
        <v>1.3988799999999999</v>
      </c>
      <c r="K1013" s="323">
        <f t="shared" si="251"/>
        <v>1.748</v>
      </c>
      <c r="L1013" s="204">
        <f t="shared" si="252"/>
        <v>14.3965332</v>
      </c>
      <c r="M1013" s="204">
        <f t="shared" si="253"/>
        <v>17.430044800000001</v>
      </c>
      <c r="N1013" s="204">
        <f t="shared" si="254"/>
        <v>21.780080000000002</v>
      </c>
    </row>
    <row r="1014" spans="1:14" x14ac:dyDescent="0.25">
      <c r="A1014" s="271">
        <v>9</v>
      </c>
      <c r="B1014" s="272">
        <f>'DATOS DE ENTRADA'!H47*$G$994</f>
        <v>73.142580511809953</v>
      </c>
      <c r="C1014" s="273">
        <f t="shared" si="245"/>
        <v>73.142580511809953</v>
      </c>
      <c r="D1014" s="273">
        <f t="shared" si="255"/>
        <v>73.142580511809953</v>
      </c>
      <c r="E1014" s="273">
        <f t="shared" si="256"/>
        <v>73.142580511809953</v>
      </c>
      <c r="F1014" s="266">
        <f t="shared" si="246"/>
        <v>3</v>
      </c>
      <c r="G1014" s="266">
        <f t="shared" si="247"/>
        <v>2</v>
      </c>
      <c r="H1014" s="266">
        <f t="shared" si="248"/>
        <v>2</v>
      </c>
      <c r="I1014" s="312">
        <f t="shared" si="249"/>
        <v>1.1554199999999999</v>
      </c>
      <c r="J1014" s="312">
        <f t="shared" si="250"/>
        <v>1.3988799999999999</v>
      </c>
      <c r="K1014" s="323">
        <f t="shared" si="251"/>
        <v>1.748</v>
      </c>
      <c r="L1014" s="204">
        <f t="shared" si="252"/>
        <v>14.3965332</v>
      </c>
      <c r="M1014" s="204">
        <f t="shared" si="253"/>
        <v>17.430044800000001</v>
      </c>
      <c r="N1014" s="204">
        <f t="shared" si="254"/>
        <v>21.780080000000002</v>
      </c>
    </row>
    <row r="1015" spans="1:14" x14ac:dyDescent="0.25">
      <c r="A1015" s="271">
        <v>10</v>
      </c>
      <c r="B1015" s="272">
        <f>'DATOS DE ENTRADA'!H48*$G$994</f>
        <v>72.996214274508489</v>
      </c>
      <c r="C1015" s="273">
        <f t="shared" si="245"/>
        <v>72.996214274508489</v>
      </c>
      <c r="D1015" s="273">
        <f t="shared" si="255"/>
        <v>72.996214274508489</v>
      </c>
      <c r="E1015" s="273">
        <f t="shared" si="256"/>
        <v>72.996214274508489</v>
      </c>
      <c r="F1015" s="266">
        <f t="shared" si="246"/>
        <v>3</v>
      </c>
      <c r="G1015" s="266">
        <f t="shared" si="247"/>
        <v>2</v>
      </c>
      <c r="H1015" s="266">
        <f t="shared" si="248"/>
        <v>2</v>
      </c>
      <c r="I1015" s="312">
        <f t="shared" si="249"/>
        <v>1.1554199999999999</v>
      </c>
      <c r="J1015" s="312">
        <f t="shared" si="250"/>
        <v>1.3988799999999999</v>
      </c>
      <c r="K1015" s="323">
        <f t="shared" si="251"/>
        <v>1.748</v>
      </c>
      <c r="L1015" s="204">
        <f t="shared" si="252"/>
        <v>14.3965332</v>
      </c>
      <c r="M1015" s="204">
        <f t="shared" si="253"/>
        <v>17.430044800000001</v>
      </c>
      <c r="N1015" s="204">
        <f t="shared" si="254"/>
        <v>21.780080000000002</v>
      </c>
    </row>
    <row r="1016" spans="1:14" x14ac:dyDescent="0.25">
      <c r="A1016" s="271">
        <v>11</v>
      </c>
      <c r="B1016" s="272">
        <f>'DATOS DE ENTRADA'!H49*$G$994</f>
        <v>72.826577526273155</v>
      </c>
      <c r="C1016" s="273">
        <f t="shared" si="245"/>
        <v>72.826577526273155</v>
      </c>
      <c r="D1016" s="273">
        <f t="shared" si="255"/>
        <v>72.826577526273155</v>
      </c>
      <c r="E1016" s="273">
        <f t="shared" si="256"/>
        <v>72.826577526273155</v>
      </c>
      <c r="F1016" s="266">
        <f t="shared" si="246"/>
        <v>3</v>
      </c>
      <c r="G1016" s="266">
        <f t="shared" si="247"/>
        <v>2</v>
      </c>
      <c r="H1016" s="266">
        <f t="shared" si="248"/>
        <v>2</v>
      </c>
      <c r="I1016" s="312">
        <f t="shared" si="249"/>
        <v>1.1554199999999999</v>
      </c>
      <c r="J1016" s="312">
        <f t="shared" si="250"/>
        <v>1.3988799999999999</v>
      </c>
      <c r="K1016" s="323">
        <f t="shared" si="251"/>
        <v>1.748</v>
      </c>
      <c r="L1016" s="204">
        <f t="shared" si="252"/>
        <v>14.3965332</v>
      </c>
      <c r="M1016" s="204">
        <f t="shared" si="253"/>
        <v>17.430044800000001</v>
      </c>
      <c r="N1016" s="204">
        <f t="shared" si="254"/>
        <v>21.780080000000002</v>
      </c>
    </row>
    <row r="1017" spans="1:14" x14ac:dyDescent="0.25">
      <c r="A1017" s="271">
        <v>12</v>
      </c>
      <c r="B1017" s="272">
        <f>'DATOS DE ENTRADA'!H50*$G$994</f>
        <v>72.651851675590763</v>
      </c>
      <c r="C1017" s="273">
        <f t="shared" si="245"/>
        <v>72.651851675590763</v>
      </c>
      <c r="D1017" s="273">
        <f t="shared" si="255"/>
        <v>72.651851675590763</v>
      </c>
      <c r="E1017" s="273">
        <f t="shared" si="256"/>
        <v>72.651851675590763</v>
      </c>
      <c r="F1017" s="266">
        <f t="shared" si="246"/>
        <v>3</v>
      </c>
      <c r="G1017" s="266">
        <f t="shared" si="247"/>
        <v>2</v>
      </c>
      <c r="H1017" s="266">
        <f t="shared" si="248"/>
        <v>2</v>
      </c>
      <c r="I1017" s="312">
        <f t="shared" si="249"/>
        <v>1.1554199999999999</v>
      </c>
      <c r="J1017" s="312">
        <f t="shared" si="250"/>
        <v>1.3988799999999999</v>
      </c>
      <c r="K1017" s="323">
        <f t="shared" si="251"/>
        <v>1.748</v>
      </c>
      <c r="L1017" s="204">
        <f t="shared" si="252"/>
        <v>14.3965332</v>
      </c>
      <c r="M1017" s="204">
        <f t="shared" si="253"/>
        <v>17.430044800000001</v>
      </c>
      <c r="N1017" s="204">
        <f t="shared" si="254"/>
        <v>21.780080000000002</v>
      </c>
    </row>
    <row r="1018" spans="1:14" x14ac:dyDescent="0.25">
      <c r="A1018" s="271">
        <v>13</v>
      </c>
      <c r="B1018" s="272">
        <f>'DATOS DE ENTRADA'!H51*$G$994</f>
        <v>72.47188404938791</v>
      </c>
      <c r="C1018" s="273">
        <f t="shared" si="245"/>
        <v>72.47188404938791</v>
      </c>
      <c r="D1018" s="273">
        <f t="shared" si="255"/>
        <v>72.47188404938791</v>
      </c>
      <c r="E1018" s="273">
        <f t="shared" si="256"/>
        <v>72.47188404938791</v>
      </c>
      <c r="F1018" s="266">
        <f t="shared" si="246"/>
        <v>3</v>
      </c>
      <c r="G1018" s="266">
        <f t="shared" si="247"/>
        <v>2</v>
      </c>
      <c r="H1018" s="266">
        <f t="shared" si="248"/>
        <v>2</v>
      </c>
      <c r="I1018" s="312">
        <f t="shared" si="249"/>
        <v>1.1554199999999999</v>
      </c>
      <c r="J1018" s="312">
        <f t="shared" si="250"/>
        <v>1.3988799999999999</v>
      </c>
      <c r="K1018" s="323">
        <f t="shared" si="251"/>
        <v>1.748</v>
      </c>
      <c r="L1018" s="204">
        <f t="shared" si="252"/>
        <v>14.3965332</v>
      </c>
      <c r="M1018" s="204">
        <f t="shared" si="253"/>
        <v>17.430044800000001</v>
      </c>
      <c r="N1018" s="204">
        <f t="shared" si="254"/>
        <v>21.780080000000002</v>
      </c>
    </row>
    <row r="1019" spans="1:14" x14ac:dyDescent="0.25">
      <c r="A1019" s="271">
        <v>14</v>
      </c>
      <c r="B1019" s="272">
        <f>'DATOS DE ENTRADA'!H52*$G$994</f>
        <v>72.286517394398942</v>
      </c>
      <c r="C1019" s="273">
        <f t="shared" si="245"/>
        <v>72.286517394398942</v>
      </c>
      <c r="D1019" s="273">
        <f t="shared" si="255"/>
        <v>72.286517394398942</v>
      </c>
      <c r="E1019" s="273">
        <f t="shared" si="256"/>
        <v>72.286517394398942</v>
      </c>
      <c r="F1019" s="266">
        <f t="shared" si="246"/>
        <v>3</v>
      </c>
      <c r="G1019" s="266">
        <f t="shared" si="247"/>
        <v>2</v>
      </c>
      <c r="H1019" s="266">
        <f t="shared" si="248"/>
        <v>2</v>
      </c>
      <c r="I1019" s="312">
        <f t="shared" si="249"/>
        <v>1.1554199999999999</v>
      </c>
      <c r="J1019" s="312">
        <f t="shared" si="250"/>
        <v>1.3988799999999999</v>
      </c>
      <c r="K1019" s="323">
        <f t="shared" si="251"/>
        <v>1.748</v>
      </c>
      <c r="L1019" s="204">
        <f t="shared" si="252"/>
        <v>14.3965332</v>
      </c>
      <c r="M1019" s="204">
        <f t="shared" si="253"/>
        <v>17.430044800000001</v>
      </c>
      <c r="N1019" s="204">
        <f t="shared" si="254"/>
        <v>21.780080000000002</v>
      </c>
    </row>
    <row r="1020" spans="1:14" x14ac:dyDescent="0.25">
      <c r="A1020" s="271">
        <v>15</v>
      </c>
      <c r="B1020" s="272">
        <f>'DATOS DE ENTRADA'!H53*$G$994</f>
        <v>72.095589739760328</v>
      </c>
      <c r="C1020" s="273">
        <f t="shared" si="245"/>
        <v>72.095589739760328</v>
      </c>
      <c r="D1020" s="273">
        <f t="shared" si="255"/>
        <v>72.095589739760328</v>
      </c>
      <c r="E1020" s="273">
        <f t="shared" si="256"/>
        <v>72.095589739760328</v>
      </c>
      <c r="F1020" s="266">
        <f t="shared" si="246"/>
        <v>3</v>
      </c>
      <c r="G1020" s="266">
        <f t="shared" si="247"/>
        <v>2</v>
      </c>
      <c r="H1020" s="266">
        <f t="shared" si="248"/>
        <v>2</v>
      </c>
      <c r="I1020" s="312">
        <f t="shared" si="249"/>
        <v>1.1554199999999999</v>
      </c>
      <c r="J1020" s="312">
        <f t="shared" si="250"/>
        <v>1.3988799999999999</v>
      </c>
      <c r="K1020" s="323">
        <f t="shared" si="251"/>
        <v>1.748</v>
      </c>
      <c r="L1020" s="204">
        <f t="shared" si="252"/>
        <v>14.3965332</v>
      </c>
      <c r="M1020" s="204">
        <f t="shared" si="253"/>
        <v>17.430044800000001</v>
      </c>
      <c r="N1020" s="204">
        <f t="shared" si="254"/>
        <v>21.780080000000002</v>
      </c>
    </row>
    <row r="1021" spans="1:14" x14ac:dyDescent="0.25">
      <c r="A1021" s="271">
        <v>16</v>
      </c>
      <c r="B1021" s="272">
        <f>'DATOS DE ENTRADA'!H54*$G$994</f>
        <v>71.938440137835485</v>
      </c>
      <c r="C1021" s="273">
        <f t="shared" si="245"/>
        <v>71.938440137835485</v>
      </c>
      <c r="D1021" s="273">
        <f t="shared" si="255"/>
        <v>71.938440137835485</v>
      </c>
      <c r="E1021" s="273">
        <f t="shared" si="256"/>
        <v>71.938440137835485</v>
      </c>
      <c r="F1021" s="266">
        <f t="shared" si="246"/>
        <v>3</v>
      </c>
      <c r="G1021" s="266">
        <f t="shared" si="247"/>
        <v>2</v>
      </c>
      <c r="H1021" s="266">
        <f t="shared" si="248"/>
        <v>2</v>
      </c>
      <c r="I1021" s="312">
        <f t="shared" si="249"/>
        <v>1.1554199999999999</v>
      </c>
      <c r="J1021" s="312">
        <f t="shared" si="250"/>
        <v>1.3988799999999999</v>
      </c>
      <c r="K1021" s="323">
        <f t="shared" si="251"/>
        <v>1.748</v>
      </c>
      <c r="L1021" s="204">
        <f t="shared" si="252"/>
        <v>14.3965332</v>
      </c>
      <c r="M1021" s="204">
        <f t="shared" si="253"/>
        <v>17.430044800000001</v>
      </c>
      <c r="N1021" s="204">
        <f t="shared" si="254"/>
        <v>21.780080000000002</v>
      </c>
    </row>
    <row r="1022" spans="1:14" x14ac:dyDescent="0.25">
      <c r="A1022" s="271">
        <v>17</v>
      </c>
      <c r="B1022" s="272">
        <f>'DATOS DE ENTRADA'!H55*$G$994</f>
        <v>71.735884989029373</v>
      </c>
      <c r="C1022" s="273">
        <f t="shared" si="245"/>
        <v>71.735884989029373</v>
      </c>
      <c r="D1022" s="273">
        <f t="shared" si="255"/>
        <v>71.735884989029373</v>
      </c>
      <c r="E1022" s="273">
        <f t="shared" si="256"/>
        <v>71.735884989029373</v>
      </c>
      <c r="F1022" s="266">
        <f t="shared" si="246"/>
        <v>3</v>
      </c>
      <c r="G1022" s="266">
        <f t="shared" si="247"/>
        <v>2</v>
      </c>
      <c r="H1022" s="266">
        <f t="shared" si="248"/>
        <v>2</v>
      </c>
      <c r="I1022" s="312">
        <f t="shared" si="249"/>
        <v>1.1554199999999999</v>
      </c>
      <c r="J1022" s="312">
        <f t="shared" si="250"/>
        <v>1.3988799999999999</v>
      </c>
      <c r="K1022" s="323">
        <f t="shared" si="251"/>
        <v>1.748</v>
      </c>
      <c r="L1022" s="204">
        <f t="shared" si="252"/>
        <v>14.3965332</v>
      </c>
      <c r="M1022" s="204">
        <f t="shared" si="253"/>
        <v>17.430044800000001</v>
      </c>
      <c r="N1022" s="204">
        <f t="shared" si="254"/>
        <v>21.780080000000002</v>
      </c>
    </row>
    <row r="1023" spans="1:14" x14ac:dyDescent="0.25">
      <c r="A1023" s="271">
        <v>18</v>
      </c>
      <c r="B1023" s="272">
        <f>'DATOS DE ENTRADA'!H56*$G$994</f>
        <v>71.527253185759079</v>
      </c>
      <c r="C1023" s="273">
        <f t="shared" si="245"/>
        <v>71.527253185759079</v>
      </c>
      <c r="D1023" s="273">
        <f t="shared" si="255"/>
        <v>71.527253185759079</v>
      </c>
      <c r="E1023" s="273">
        <f t="shared" si="256"/>
        <v>71.527253185759079</v>
      </c>
      <c r="F1023" s="266">
        <f t="shared" si="246"/>
        <v>3</v>
      </c>
      <c r="G1023" s="266">
        <f t="shared" si="247"/>
        <v>2</v>
      </c>
      <c r="H1023" s="266">
        <f t="shared" si="248"/>
        <v>2</v>
      </c>
      <c r="I1023" s="312">
        <f t="shared" si="249"/>
        <v>1.1554199999999999</v>
      </c>
      <c r="J1023" s="312">
        <f t="shared" si="250"/>
        <v>1.3988799999999999</v>
      </c>
      <c r="K1023" s="323">
        <f t="shared" si="251"/>
        <v>1.748</v>
      </c>
      <c r="L1023" s="204">
        <f t="shared" si="252"/>
        <v>14.3965332</v>
      </c>
      <c r="M1023" s="204">
        <f t="shared" si="253"/>
        <v>17.430044800000001</v>
      </c>
      <c r="N1023" s="204">
        <f t="shared" si="254"/>
        <v>21.780080000000002</v>
      </c>
    </row>
    <row r="1024" spans="1:14" x14ac:dyDescent="0.25">
      <c r="A1024" s="271">
        <v>19</v>
      </c>
      <c r="B1024" s="272">
        <f>'DATOS DE ENTRADA'!H57*$G$994</f>
        <v>71.312362428390671</v>
      </c>
      <c r="C1024" s="273">
        <f t="shared" si="245"/>
        <v>71.312362428390671</v>
      </c>
      <c r="D1024" s="273">
        <f t="shared" si="255"/>
        <v>71.312362428390671</v>
      </c>
      <c r="E1024" s="273">
        <f t="shared" si="256"/>
        <v>71.312362428390671</v>
      </c>
      <c r="F1024" s="266">
        <f t="shared" si="246"/>
        <v>4</v>
      </c>
      <c r="G1024" s="266">
        <f t="shared" si="247"/>
        <v>2</v>
      </c>
      <c r="H1024" s="266">
        <f t="shared" si="248"/>
        <v>2</v>
      </c>
      <c r="I1024" s="312">
        <f t="shared" si="249"/>
        <v>1.2020399999999998</v>
      </c>
      <c r="J1024" s="312">
        <f t="shared" si="250"/>
        <v>1.3988799999999999</v>
      </c>
      <c r="K1024" s="323">
        <f t="shared" si="251"/>
        <v>1.748</v>
      </c>
      <c r="L1024" s="204">
        <f t="shared" si="252"/>
        <v>14.977418399999998</v>
      </c>
      <c r="M1024" s="204">
        <f t="shared" si="253"/>
        <v>17.430044800000001</v>
      </c>
      <c r="N1024" s="204">
        <f t="shared" si="254"/>
        <v>21.780080000000002</v>
      </c>
    </row>
    <row r="1025" spans="1:14" x14ac:dyDescent="0.25">
      <c r="A1025" s="271">
        <v>20</v>
      </c>
      <c r="B1025" s="272">
        <f>'DATOS DE ENTRADA'!H58*$G$994</f>
        <v>71.091024948301211</v>
      </c>
      <c r="C1025" s="273">
        <f t="shared" si="245"/>
        <v>71.091024948301211</v>
      </c>
      <c r="D1025" s="273">
        <f t="shared" si="255"/>
        <v>71.091024948301211</v>
      </c>
      <c r="E1025" s="273">
        <f t="shared" si="256"/>
        <v>71.091024948301211</v>
      </c>
      <c r="F1025" s="266">
        <f t="shared" si="246"/>
        <v>4</v>
      </c>
      <c r="G1025" s="266">
        <f t="shared" si="247"/>
        <v>2</v>
      </c>
      <c r="H1025" s="266">
        <f t="shared" si="248"/>
        <v>2</v>
      </c>
      <c r="I1025" s="312">
        <f t="shared" si="249"/>
        <v>1.2020399999999998</v>
      </c>
      <c r="J1025" s="312">
        <f t="shared" si="250"/>
        <v>1.3988799999999999</v>
      </c>
      <c r="K1025" s="323">
        <f t="shared" si="251"/>
        <v>1.748</v>
      </c>
      <c r="L1025" s="204">
        <f t="shared" si="252"/>
        <v>14.977418399999998</v>
      </c>
      <c r="M1025" s="204">
        <f t="shared" si="253"/>
        <v>17.430044800000001</v>
      </c>
      <c r="N1025" s="204">
        <f t="shared" si="254"/>
        <v>21.780080000000002</v>
      </c>
    </row>
    <row r="1026" spans="1:14" x14ac:dyDescent="0.25">
      <c r="A1026" s="271">
        <v>21</v>
      </c>
      <c r="B1026" s="272">
        <f>'DATOS DE ENTRADA'!H59*$G$994</f>
        <v>70.863047343809072</v>
      </c>
      <c r="C1026" s="273">
        <f t="shared" si="245"/>
        <v>70.863047343809072</v>
      </c>
      <c r="D1026" s="273">
        <f t="shared" si="255"/>
        <v>70.863047343809072</v>
      </c>
      <c r="E1026" s="273">
        <f t="shared" si="256"/>
        <v>70.863047343809072</v>
      </c>
      <c r="F1026" s="266">
        <f t="shared" si="246"/>
        <v>4</v>
      </c>
      <c r="G1026" s="266">
        <f t="shared" si="247"/>
        <v>2</v>
      </c>
      <c r="H1026" s="266">
        <f t="shared" si="248"/>
        <v>2</v>
      </c>
      <c r="I1026" s="312">
        <f t="shared" si="249"/>
        <v>1.2020399999999998</v>
      </c>
      <c r="J1026" s="312">
        <f t="shared" si="250"/>
        <v>1.3988799999999999</v>
      </c>
      <c r="K1026" s="323">
        <f t="shared" si="251"/>
        <v>1.748</v>
      </c>
      <c r="L1026" s="204">
        <f t="shared" si="252"/>
        <v>14.977418399999998</v>
      </c>
      <c r="M1026" s="204">
        <f t="shared" si="253"/>
        <v>17.430044800000001</v>
      </c>
      <c r="N1026" s="204">
        <f t="shared" si="254"/>
        <v>21.780080000000002</v>
      </c>
    </row>
    <row r="1027" spans="1:14" x14ac:dyDescent="0.25">
      <c r="A1027" s="271">
        <v>22</v>
      </c>
      <c r="B1027" s="272">
        <f>'DATOS DE ENTRADA'!H60*$G$994</f>
        <v>70.628230411182173</v>
      </c>
      <c r="C1027" s="273">
        <f t="shared" si="245"/>
        <v>70.628230411182173</v>
      </c>
      <c r="D1027" s="273">
        <f t="shared" si="255"/>
        <v>70.628230411182173</v>
      </c>
      <c r="E1027" s="273">
        <f t="shared" si="256"/>
        <v>70.628230411182173</v>
      </c>
      <c r="F1027" s="266">
        <f t="shared" si="246"/>
        <v>4</v>
      </c>
      <c r="G1027" s="266">
        <f t="shared" si="247"/>
        <v>2</v>
      </c>
      <c r="H1027" s="266">
        <f t="shared" si="248"/>
        <v>2</v>
      </c>
      <c r="I1027" s="312">
        <f t="shared" si="249"/>
        <v>1.2020399999999998</v>
      </c>
      <c r="J1027" s="312">
        <f t="shared" si="250"/>
        <v>1.3988799999999999</v>
      </c>
      <c r="K1027" s="323">
        <f t="shared" si="251"/>
        <v>1.748</v>
      </c>
      <c r="L1027" s="204">
        <f t="shared" si="252"/>
        <v>14.977418399999998</v>
      </c>
      <c r="M1027" s="204">
        <f t="shared" si="253"/>
        <v>17.430044800000001</v>
      </c>
      <c r="N1027" s="204">
        <f t="shared" si="254"/>
        <v>21.780080000000002</v>
      </c>
    </row>
    <row r="1028" spans="1:14" x14ac:dyDescent="0.25">
      <c r="A1028" s="271">
        <v>23</v>
      </c>
      <c r="B1028" s="272">
        <f>'DATOS DE ENTRADA'!H61*$G$994</f>
        <v>70.38636897057647</v>
      </c>
      <c r="C1028" s="273">
        <f t="shared" si="245"/>
        <v>70.38636897057647</v>
      </c>
      <c r="D1028" s="273">
        <f t="shared" si="255"/>
        <v>70.38636897057647</v>
      </c>
      <c r="E1028" s="273">
        <f t="shared" si="256"/>
        <v>70.38636897057647</v>
      </c>
      <c r="F1028" s="266">
        <f t="shared" si="246"/>
        <v>4</v>
      </c>
      <c r="G1028" s="266">
        <f t="shared" si="247"/>
        <v>2</v>
      </c>
      <c r="H1028" s="266">
        <f t="shared" si="248"/>
        <v>2</v>
      </c>
      <c r="I1028" s="312">
        <f t="shared" si="249"/>
        <v>1.2020399999999998</v>
      </c>
      <c r="J1028" s="312">
        <f t="shared" si="250"/>
        <v>1.3988799999999999</v>
      </c>
      <c r="K1028" s="323">
        <f t="shared" si="251"/>
        <v>1.748</v>
      </c>
      <c r="L1028" s="204">
        <f t="shared" si="252"/>
        <v>14.977418399999998</v>
      </c>
      <c r="M1028" s="204">
        <f t="shared" si="253"/>
        <v>17.430044800000001</v>
      </c>
      <c r="N1028" s="204">
        <f t="shared" si="254"/>
        <v>21.780080000000002</v>
      </c>
    </row>
    <row r="1029" spans="1:14" x14ac:dyDescent="0.25">
      <c r="A1029" s="271">
        <v>24</v>
      </c>
      <c r="B1029" s="272">
        <f>'DATOS DE ENTRADA'!H62*$G$994</f>
        <v>70.137251686752577</v>
      </c>
      <c r="C1029" s="273">
        <f t="shared" si="245"/>
        <v>70.137251686752577</v>
      </c>
      <c r="D1029" s="273">
        <f t="shared" si="255"/>
        <v>70.137251686752577</v>
      </c>
      <c r="E1029" s="273">
        <f t="shared" si="256"/>
        <v>70.137251686752577</v>
      </c>
      <c r="F1029" s="266">
        <f t="shared" si="246"/>
        <v>4</v>
      </c>
      <c r="G1029" s="266">
        <f t="shared" si="247"/>
        <v>2</v>
      </c>
      <c r="H1029" s="266">
        <f t="shared" si="248"/>
        <v>2</v>
      </c>
      <c r="I1029" s="312">
        <f t="shared" si="249"/>
        <v>1.2020399999999998</v>
      </c>
      <c r="J1029" s="312">
        <f t="shared" si="250"/>
        <v>1.3988799999999999</v>
      </c>
      <c r="K1029" s="323">
        <f t="shared" si="251"/>
        <v>1.748</v>
      </c>
      <c r="L1029" s="204">
        <f t="shared" si="252"/>
        <v>14.977418399999998</v>
      </c>
      <c r="M1029" s="204">
        <f t="shared" si="253"/>
        <v>17.430044800000001</v>
      </c>
      <c r="N1029" s="204">
        <f t="shared" si="254"/>
        <v>21.780080000000002</v>
      </c>
    </row>
    <row r="1030" spans="1:14" x14ac:dyDescent="0.25">
      <c r="A1030" s="271">
        <v>25</v>
      </c>
      <c r="B1030" s="272">
        <f>'DATOS DE ENTRADA'!H63*$G$994</f>
        <v>69.880660884413984</v>
      </c>
      <c r="C1030" s="273">
        <f t="shared" si="245"/>
        <v>69.880660884413984</v>
      </c>
      <c r="D1030" s="273">
        <f t="shared" si="255"/>
        <v>69.880660884413984</v>
      </c>
      <c r="E1030" s="273">
        <f t="shared" si="256"/>
        <v>69.880660884413984</v>
      </c>
      <c r="F1030" s="266">
        <f t="shared" si="246"/>
        <v>4</v>
      </c>
      <c r="G1030" s="266">
        <f t="shared" si="247"/>
        <v>2</v>
      </c>
      <c r="H1030" s="266">
        <f t="shared" si="248"/>
        <v>2</v>
      </c>
      <c r="I1030" s="312">
        <f t="shared" si="249"/>
        <v>1.2020399999999998</v>
      </c>
      <c r="J1030" s="312">
        <f t="shared" si="250"/>
        <v>1.3988799999999999</v>
      </c>
      <c r="K1030" s="323">
        <f t="shared" si="251"/>
        <v>1.748</v>
      </c>
      <c r="L1030" s="204">
        <f t="shared" si="252"/>
        <v>14.977418399999998</v>
      </c>
      <c r="M1030" s="204">
        <f t="shared" si="253"/>
        <v>17.430044800000001</v>
      </c>
      <c r="N1030" s="204">
        <f t="shared" si="254"/>
        <v>21.780080000000002</v>
      </c>
    </row>
    <row r="1031" spans="1:14" x14ac:dyDescent="0.25">
      <c r="A1031" s="271">
        <v>26</v>
      </c>
      <c r="B1031" s="272">
        <f>'DATOS DE ENTRADA'!H64*$G$994</f>
        <v>69.710221392614486</v>
      </c>
      <c r="C1031" s="273">
        <f t="shared" si="245"/>
        <v>69.710221392614486</v>
      </c>
      <c r="D1031" s="273">
        <f t="shared" si="255"/>
        <v>69.710221392614486</v>
      </c>
      <c r="E1031" s="273">
        <f t="shared" si="256"/>
        <v>69.710221392614486</v>
      </c>
      <c r="F1031" s="266">
        <f t="shared" si="246"/>
        <v>4</v>
      </c>
      <c r="G1031" s="266">
        <f t="shared" si="247"/>
        <v>2</v>
      </c>
      <c r="H1031" s="266">
        <f t="shared" si="248"/>
        <v>2</v>
      </c>
      <c r="I1031" s="312">
        <f t="shared" si="249"/>
        <v>1.2020399999999998</v>
      </c>
      <c r="J1031" s="312">
        <f t="shared" si="250"/>
        <v>1.3988799999999999</v>
      </c>
      <c r="K1031" s="323">
        <f t="shared" si="251"/>
        <v>1.748</v>
      </c>
      <c r="L1031" s="204">
        <f t="shared" si="252"/>
        <v>14.977418399999998</v>
      </c>
      <c r="M1031" s="204">
        <f t="shared" si="253"/>
        <v>17.430044800000001</v>
      </c>
      <c r="N1031" s="204">
        <f t="shared" si="254"/>
        <v>21.780080000000002</v>
      </c>
    </row>
    <row r="1032" spans="1:14" x14ac:dyDescent="0.25">
      <c r="A1032" s="271">
        <v>27</v>
      </c>
      <c r="B1032" s="272">
        <f>'DATOS DE ENTRADA'!H65*$G$994</f>
        <v>69.438913093216456</v>
      </c>
      <c r="C1032" s="273">
        <f t="shared" si="245"/>
        <v>69.438913093216456</v>
      </c>
      <c r="D1032" s="273">
        <f t="shared" si="255"/>
        <v>69.438913093216456</v>
      </c>
      <c r="E1032" s="273">
        <f t="shared" si="256"/>
        <v>69.438913093216456</v>
      </c>
      <c r="F1032" s="266">
        <f t="shared" si="246"/>
        <v>4</v>
      </c>
      <c r="G1032" s="266">
        <f t="shared" si="247"/>
        <v>2</v>
      </c>
      <c r="H1032" s="266">
        <f t="shared" si="248"/>
        <v>2</v>
      </c>
      <c r="I1032" s="312">
        <f t="shared" si="249"/>
        <v>1.2020399999999998</v>
      </c>
      <c r="J1032" s="312">
        <f t="shared" si="250"/>
        <v>1.3988799999999999</v>
      </c>
      <c r="K1032" s="323">
        <f t="shared" si="251"/>
        <v>1.748</v>
      </c>
      <c r="L1032" s="204">
        <f t="shared" si="252"/>
        <v>14.977418399999998</v>
      </c>
      <c r="M1032" s="204">
        <f t="shared" si="253"/>
        <v>17.430044800000001</v>
      </c>
      <c r="N1032" s="204">
        <f t="shared" si="254"/>
        <v>21.780080000000002</v>
      </c>
    </row>
    <row r="1033" spans="1:14" x14ac:dyDescent="0.25">
      <c r="A1033" s="271">
        <v>28</v>
      </c>
      <c r="B1033" s="272">
        <f>'DATOS DE ENTRADA'!H66*$G$994</f>
        <v>69.159465544836479</v>
      </c>
      <c r="C1033" s="273">
        <f t="shared" si="245"/>
        <v>69.159465544836479</v>
      </c>
      <c r="D1033" s="273">
        <f t="shared" si="255"/>
        <v>69.159465544836479</v>
      </c>
      <c r="E1033" s="273">
        <f t="shared" si="256"/>
        <v>69.159465544836479</v>
      </c>
      <c r="F1033" s="266">
        <f t="shared" si="246"/>
        <v>5</v>
      </c>
      <c r="G1033" s="266">
        <f t="shared" si="247"/>
        <v>2</v>
      </c>
      <c r="H1033" s="266">
        <f t="shared" si="248"/>
        <v>2</v>
      </c>
      <c r="I1033" s="312">
        <f t="shared" si="249"/>
        <v>1.2504999999999999</v>
      </c>
      <c r="J1033" s="312">
        <f t="shared" si="250"/>
        <v>1.3988799999999999</v>
      </c>
      <c r="K1033" s="323">
        <f t="shared" si="251"/>
        <v>1.748</v>
      </c>
      <c r="L1033" s="204">
        <f t="shared" si="252"/>
        <v>15.58123</v>
      </c>
      <c r="M1033" s="204">
        <f t="shared" si="253"/>
        <v>17.430044800000001</v>
      </c>
      <c r="N1033" s="204">
        <f t="shared" si="254"/>
        <v>21.780080000000002</v>
      </c>
    </row>
    <row r="1034" spans="1:14" x14ac:dyDescent="0.25">
      <c r="A1034" s="271">
        <v>29</v>
      </c>
      <c r="B1034" s="272">
        <f>'DATOS DE ENTRADA'!H67*$G$994</f>
        <v>68.871634570005099</v>
      </c>
      <c r="C1034" s="273">
        <f t="shared" si="245"/>
        <v>68.871634570005099</v>
      </c>
      <c r="D1034" s="273">
        <f t="shared" si="255"/>
        <v>68.871634570005099</v>
      </c>
      <c r="E1034" s="273">
        <f t="shared" si="256"/>
        <v>68.871634570005099</v>
      </c>
      <c r="F1034" s="266">
        <f t="shared" si="246"/>
        <v>5</v>
      </c>
      <c r="G1034" s="266">
        <f t="shared" si="247"/>
        <v>2</v>
      </c>
      <c r="H1034" s="266">
        <f t="shared" si="248"/>
        <v>2</v>
      </c>
      <c r="I1034" s="312">
        <f t="shared" si="249"/>
        <v>1.2504999999999999</v>
      </c>
      <c r="J1034" s="312">
        <f t="shared" si="250"/>
        <v>1.3988799999999999</v>
      </c>
      <c r="K1034" s="323">
        <f t="shared" si="251"/>
        <v>1.748</v>
      </c>
      <c r="L1034" s="204">
        <f t="shared" si="252"/>
        <v>15.58123</v>
      </c>
      <c r="M1034" s="204">
        <f t="shared" si="253"/>
        <v>17.430044800000001</v>
      </c>
      <c r="N1034" s="204">
        <f t="shared" si="254"/>
        <v>21.780080000000002</v>
      </c>
    </row>
    <row r="1035" spans="1:14" x14ac:dyDescent="0.25">
      <c r="A1035" s="271">
        <v>30</v>
      </c>
      <c r="B1035" s="272">
        <f>'DATOS DE ENTRADA'!H68*$G$994</f>
        <v>68.575168665928771</v>
      </c>
      <c r="C1035" s="273">
        <f t="shared" si="245"/>
        <v>68.575168665928771</v>
      </c>
      <c r="D1035" s="273">
        <f t="shared" si="255"/>
        <v>68.575168665928771</v>
      </c>
      <c r="E1035" s="273">
        <f t="shared" si="256"/>
        <v>68.575168665928771</v>
      </c>
      <c r="F1035" s="266">
        <f t="shared" si="246"/>
        <v>5</v>
      </c>
      <c r="G1035" s="266">
        <f t="shared" si="247"/>
        <v>2</v>
      </c>
      <c r="H1035" s="266">
        <f t="shared" si="248"/>
        <v>2</v>
      </c>
      <c r="I1035" s="312">
        <f t="shared" si="249"/>
        <v>1.2504999999999999</v>
      </c>
      <c r="J1035" s="312">
        <f t="shared" si="250"/>
        <v>1.3988799999999999</v>
      </c>
      <c r="K1035" s="323">
        <f t="shared" si="251"/>
        <v>1.748</v>
      </c>
      <c r="L1035" s="204">
        <f t="shared" si="252"/>
        <v>15.58123</v>
      </c>
      <c r="M1035" s="204">
        <f t="shared" si="253"/>
        <v>17.430044800000001</v>
      </c>
      <c r="N1035" s="204">
        <f t="shared" si="254"/>
        <v>21.780080000000002</v>
      </c>
    </row>
    <row r="1036" spans="1:14" x14ac:dyDescent="0.25">
      <c r="A1036" s="271">
        <v>31</v>
      </c>
      <c r="B1036" s="272">
        <f>'DATOS DE ENTRADA'!H69*$G$994</f>
        <v>68.269808784730174</v>
      </c>
      <c r="C1036" s="273">
        <f t="shared" si="245"/>
        <v>68.269808784730174</v>
      </c>
      <c r="D1036" s="273">
        <f>C1036</f>
        <v>68.269808784730174</v>
      </c>
      <c r="E1036" s="273">
        <f>D1036</f>
        <v>68.269808784730174</v>
      </c>
      <c r="F1036" s="266">
        <f t="shared" si="246"/>
        <v>5</v>
      </c>
      <c r="G1036" s="266">
        <f t="shared" si="247"/>
        <v>2</v>
      </c>
      <c r="H1036" s="266">
        <f t="shared" si="248"/>
        <v>2</v>
      </c>
      <c r="I1036" s="312">
        <f>0.00006*(F1036)^3+0.0002*(F1036)^2+0.043*(F1036)+1.023</f>
        <v>1.2504999999999999</v>
      </c>
      <c r="J1036" s="312">
        <f>0.00006*(G1036)^3-0.00015*(G1036)^2+0.048*(G1036)+1.303</f>
        <v>1.3988799999999999</v>
      </c>
      <c r="K1036" s="323">
        <f>0.054*(H1036)+1.64</f>
        <v>1.748</v>
      </c>
      <c r="L1036" s="204">
        <f t="shared" ref="L1036:N1037" si="257">I1036*$B$1002</f>
        <v>15.58123</v>
      </c>
      <c r="M1036" s="204">
        <f t="shared" si="257"/>
        <v>17.430044800000001</v>
      </c>
      <c r="N1036" s="204">
        <f t="shared" si="257"/>
        <v>21.780080000000002</v>
      </c>
    </row>
    <row r="1037" spans="1:14" x14ac:dyDescent="0.25">
      <c r="A1037" s="271">
        <v>32</v>
      </c>
      <c r="B1037" s="272">
        <f>'DATOS DE ENTRADA'!H70*$G$994</f>
        <v>67.955288107095612</v>
      </c>
      <c r="C1037" s="273">
        <f t="shared" si="245"/>
        <v>67.955288107095612</v>
      </c>
      <c r="D1037" s="273">
        <f>C1037</f>
        <v>67.955288107095612</v>
      </c>
      <c r="E1037" s="273">
        <f>D1037</f>
        <v>67.955288107095612</v>
      </c>
      <c r="F1037" s="266">
        <f t="shared" si="246"/>
        <v>5</v>
      </c>
      <c r="G1037" s="266">
        <f t="shared" si="247"/>
        <v>2</v>
      </c>
      <c r="H1037" s="266">
        <f t="shared" si="248"/>
        <v>2</v>
      </c>
      <c r="I1037" s="312">
        <f>0.00006*(F1037)^3+0.0002*(F1037)^2+0.043*(F1037)+1.023</f>
        <v>1.2504999999999999</v>
      </c>
      <c r="J1037" s="312">
        <f>0.00006*(G1037)^3-0.00015*(G1037)^2+0.048*(G1037)+1.303</f>
        <v>1.3988799999999999</v>
      </c>
      <c r="K1037" s="323">
        <f>0.054*(H1037)+1.64</f>
        <v>1.748</v>
      </c>
      <c r="L1037" s="204">
        <f t="shared" si="257"/>
        <v>15.58123</v>
      </c>
      <c r="M1037" s="204">
        <f t="shared" si="257"/>
        <v>17.430044800000001</v>
      </c>
      <c r="N1037" s="204">
        <f t="shared" si="257"/>
        <v>21.780080000000002</v>
      </c>
    </row>
    <row r="1038" spans="1:14" x14ac:dyDescent="0.25">
      <c r="A1038" s="239" t="s">
        <v>13</v>
      </c>
      <c r="B1038" s="239"/>
    </row>
    <row r="1039" spans="1:14" x14ac:dyDescent="0.25">
      <c r="A1039" t="s">
        <v>283</v>
      </c>
      <c r="C1039" t="s">
        <v>238</v>
      </c>
    </row>
    <row r="1040" spans="1:14" x14ac:dyDescent="0.25">
      <c r="A1040" s="43" t="s">
        <v>228</v>
      </c>
      <c r="B1040" s="43">
        <f>B1002</f>
        <v>12.46</v>
      </c>
    </row>
    <row r="1041" spans="1:14" x14ac:dyDescent="0.25">
      <c r="A1041" s="43" t="s">
        <v>99</v>
      </c>
      <c r="B1041" s="169" t="str">
        <f>$B$57</f>
        <v>P</v>
      </c>
      <c r="C1041" s="575" t="s">
        <v>229</v>
      </c>
      <c r="D1041" s="575"/>
      <c r="E1041" s="575"/>
      <c r="F1041" s="575" t="s">
        <v>230</v>
      </c>
      <c r="G1041" s="576"/>
      <c r="H1041" s="576"/>
      <c r="I1041" s="575" t="s">
        <v>231</v>
      </c>
      <c r="J1041" s="575"/>
      <c r="K1041" s="575"/>
      <c r="L1041" s="575" t="s">
        <v>240</v>
      </c>
      <c r="M1041" s="575"/>
      <c r="N1041" s="575"/>
    </row>
    <row r="1042" spans="1:14" x14ac:dyDescent="0.25">
      <c r="A1042" s="35" t="s">
        <v>18</v>
      </c>
      <c r="B1042" s="95" t="s">
        <v>20</v>
      </c>
      <c r="C1042" s="270" t="s">
        <v>233</v>
      </c>
      <c r="D1042" s="270" t="s">
        <v>234</v>
      </c>
      <c r="E1042" s="270" t="s">
        <v>235</v>
      </c>
      <c r="F1042" s="270" t="s">
        <v>233</v>
      </c>
      <c r="G1042" s="270" t="s">
        <v>234</v>
      </c>
      <c r="H1042" s="270" t="s">
        <v>235</v>
      </c>
      <c r="I1042" s="270" t="s">
        <v>233</v>
      </c>
      <c r="J1042" s="270" t="s">
        <v>234</v>
      </c>
      <c r="K1042" s="270" t="s">
        <v>235</v>
      </c>
      <c r="L1042" s="270" t="s">
        <v>233</v>
      </c>
      <c r="M1042" s="270" t="s">
        <v>234</v>
      </c>
      <c r="N1042" s="270" t="s">
        <v>235</v>
      </c>
    </row>
    <row r="1043" spans="1:14" x14ac:dyDescent="0.25">
      <c r="A1043" s="271">
        <v>0</v>
      </c>
      <c r="B1043" s="272">
        <f>B59*$G$994</f>
        <v>89.599089449708629</v>
      </c>
      <c r="C1043" s="273">
        <f>B1043</f>
        <v>89.599089449708629</v>
      </c>
      <c r="D1043" s="273">
        <f>C1043</f>
        <v>89.599089449708629</v>
      </c>
      <c r="E1043" s="273">
        <f>D1043</f>
        <v>89.599089449708629</v>
      </c>
      <c r="F1043" s="266">
        <f>IF(C1043&gt;$B$987,2,IF(C1043&gt;$B$988,3,IF(C1043&gt;$B$989,4,IF(C1043&gt;$B$990,5,IF(C1043&gt;$B$991,6,IF(C1043&gt;$B$992,7,IF(C1043&gt;$B$993,8,IF(C1043&gt;$B$994,9,IF(C1043&gt;$B$995,10,IF(C1043&gt;$B$996,11,IF(C1043&gt;$B$997,12,12)))))))))))</f>
        <v>2</v>
      </c>
      <c r="G1043" s="266">
        <f>IF(D1043&gt;$C$987,2,IF(D1043&gt;$C$988,3,IF(D1043&gt;$C$989,4,IF(D1043&gt;$C$990,5,IF(D1043&gt;$C$991,6,IF(D1043&gt;$C$992,7,IF(D1043&gt;$C$993,8,IF(D1043&gt;$C$994,9,IF(D1043&gt;$C$995,10,IF(D1043&gt;$C$996,11,IF(D1043&gt;$C$997,12,12)))))))))))</f>
        <v>2</v>
      </c>
      <c r="H1043" s="266">
        <f>IF(E1043&gt;$D$987,2,IF(E1043&gt;$D$988,3,IF(E1043&gt;$D$989,4,IF(E1043&gt;$D$990,5,IF(E1043&gt;$D$991,6,IF(E1043&gt;$D$992,7,IF(E1043&gt;$D$993,8,IF(E1043&gt;$D$994,9,IF(E1043&gt;$D$995,10,IF(E1043&gt;$D$996,11,IF(E1043&gt;$D$997,12,12)))))))))))</f>
        <v>2</v>
      </c>
      <c r="I1043" s="312">
        <f>0.00006*(F1043)^3+0.0002*(F1043)^2+0.043*(F1043)+1.023</f>
        <v>1.1102799999999999</v>
      </c>
      <c r="J1043" s="312">
        <f>0.00006*(G1043)^3-0.00015*(G1043)^2+0.048*(G1043)+1.303</f>
        <v>1.3988799999999999</v>
      </c>
      <c r="K1043" s="323">
        <f>0.054*(H1043)+1.64</f>
        <v>1.748</v>
      </c>
      <c r="L1043" s="204">
        <f>$B$1040*I1043</f>
        <v>13.8340888</v>
      </c>
      <c r="M1043" s="204">
        <f>$B$1040*J1043</f>
        <v>17.430044800000001</v>
      </c>
      <c r="N1043" s="204">
        <f>$B$1040*K1043</f>
        <v>21.780080000000002</v>
      </c>
    </row>
    <row r="1044" spans="1:14" x14ac:dyDescent="0.25">
      <c r="A1044" s="271">
        <v>1</v>
      </c>
      <c r="B1044" s="272">
        <f t="shared" ref="B1044:B1075" si="258">B60*$G$994</f>
        <v>89.324120956729303</v>
      </c>
      <c r="C1044" s="273">
        <f t="shared" ref="C1044:C1075" si="259">B1044</f>
        <v>89.324120956729303</v>
      </c>
      <c r="D1044" s="311">
        <f>C1044</f>
        <v>89.324120956729303</v>
      </c>
      <c r="E1044" s="311">
        <f>D1044</f>
        <v>89.324120956729303</v>
      </c>
      <c r="F1044" s="266">
        <f t="shared" ref="F1044:F1075" si="260">IF(C1044&gt;$B$987,2,IF(C1044&gt;$B$988,3,IF(C1044&gt;$B$989,4,IF(C1044&gt;$B$990,5,IF(C1044&gt;$B$991,6,IF(C1044&gt;$B$992,7,IF(C1044&gt;$B$993,8,IF(C1044&gt;$B$994,9,IF(C1044&gt;$B$995,10,IF(C1044&gt;$B$996,11,IF(C1044&gt;$B$997,12,12)))))))))))</f>
        <v>2</v>
      </c>
      <c r="G1044" s="266">
        <f t="shared" ref="G1044:G1075" si="261">IF(D1044&gt;$C$987,2,IF(D1044&gt;$C$988,3,IF(D1044&gt;$C$989,4,IF(D1044&gt;$C$990,5,IF(D1044&gt;$C$991,6,IF(D1044&gt;$C$992,7,IF(D1044&gt;$C$993,8,IF(D1044&gt;$C$994,9,IF(D1044&gt;$C$995,10,IF(D1044&gt;$C$996,11,IF(D1044&gt;$C$997,12,12)))))))))))</f>
        <v>2</v>
      </c>
      <c r="H1044" s="266">
        <f t="shared" ref="H1044:H1075" si="262">IF(E1044&gt;$D$987,2,IF(E1044&gt;$D$988,3,IF(E1044&gt;$D$989,4,IF(E1044&gt;$D$990,5,IF(E1044&gt;$D$991,6,IF(E1044&gt;$D$992,7,IF(E1044&gt;$D$993,8,IF(E1044&gt;$D$994,9,IF(E1044&gt;$D$995,10,IF(E1044&gt;$D$996,11,IF(E1044&gt;$D$997,12,12)))))))))))</f>
        <v>2</v>
      </c>
      <c r="I1044" s="312">
        <f t="shared" ref="I1044:I1073" si="263">0.00006*(F1044)^3+0.0002*(F1044)^2+0.043*(F1044)+1.023</f>
        <v>1.1102799999999999</v>
      </c>
      <c r="J1044" s="312">
        <f t="shared" ref="J1044:J1073" si="264">0.00006*(G1044)^3-0.00015*(G1044)^2+0.048*(G1044)+1.303</f>
        <v>1.3988799999999999</v>
      </c>
      <c r="K1044" s="323">
        <f t="shared" ref="K1044:K1073" si="265">0.054*(H1044)+1.64</f>
        <v>1.748</v>
      </c>
      <c r="L1044" s="204">
        <f t="shared" ref="L1044:L1073" si="266">$B$1040*I1044</f>
        <v>13.8340888</v>
      </c>
      <c r="M1044" s="204">
        <f t="shared" ref="M1044:M1073" si="267">$B$1040*J1044</f>
        <v>17.430044800000001</v>
      </c>
      <c r="N1044" s="204">
        <f t="shared" ref="N1044:N1073" si="268">$B$1040*K1044</f>
        <v>21.780080000000002</v>
      </c>
    </row>
    <row r="1045" spans="1:14" x14ac:dyDescent="0.25">
      <c r="A1045" s="271">
        <v>2</v>
      </c>
      <c r="B1045" s="272">
        <f t="shared" si="258"/>
        <v>89.040903408960602</v>
      </c>
      <c r="C1045" s="273">
        <f t="shared" si="259"/>
        <v>89.040903408960602</v>
      </c>
      <c r="D1045" s="273">
        <f>C1045</f>
        <v>89.040903408960602</v>
      </c>
      <c r="E1045" s="273">
        <f>D1045</f>
        <v>89.040903408960602</v>
      </c>
      <c r="F1045" s="266">
        <f t="shared" si="260"/>
        <v>2</v>
      </c>
      <c r="G1045" s="266">
        <f t="shared" si="261"/>
        <v>2</v>
      </c>
      <c r="H1045" s="266">
        <f t="shared" si="262"/>
        <v>2</v>
      </c>
      <c r="I1045" s="312">
        <f t="shared" si="263"/>
        <v>1.1102799999999999</v>
      </c>
      <c r="J1045" s="312">
        <f t="shared" si="264"/>
        <v>1.3988799999999999</v>
      </c>
      <c r="K1045" s="323">
        <f t="shared" si="265"/>
        <v>1.748</v>
      </c>
      <c r="L1045" s="204">
        <f t="shared" si="266"/>
        <v>13.8340888</v>
      </c>
      <c r="M1045" s="204">
        <f t="shared" si="267"/>
        <v>17.430044800000001</v>
      </c>
      <c r="N1045" s="204">
        <f t="shared" si="268"/>
        <v>21.780080000000002</v>
      </c>
    </row>
    <row r="1046" spans="1:14" x14ac:dyDescent="0.25">
      <c r="A1046" s="271">
        <v>3</v>
      </c>
      <c r="B1046" s="272">
        <f t="shared" si="258"/>
        <v>88.859249956160966</v>
      </c>
      <c r="C1046" s="273">
        <f t="shared" si="259"/>
        <v>88.859249956160966</v>
      </c>
      <c r="D1046" s="273">
        <f t="shared" ref="D1046:D1073" si="269">C1046</f>
        <v>88.859249956160966</v>
      </c>
      <c r="E1046" s="273">
        <f t="shared" ref="E1046:E1073" si="270">D1046</f>
        <v>88.859249956160966</v>
      </c>
      <c r="F1046" s="266">
        <f t="shared" si="260"/>
        <v>2</v>
      </c>
      <c r="G1046" s="266">
        <f t="shared" si="261"/>
        <v>2</v>
      </c>
      <c r="H1046" s="266">
        <f t="shared" si="262"/>
        <v>2</v>
      </c>
      <c r="I1046" s="312">
        <f t="shared" si="263"/>
        <v>1.1102799999999999</v>
      </c>
      <c r="J1046" s="312">
        <f t="shared" si="264"/>
        <v>1.3988799999999999</v>
      </c>
      <c r="K1046" s="323">
        <f t="shared" si="265"/>
        <v>1.748</v>
      </c>
      <c r="L1046" s="204">
        <f t="shared" si="266"/>
        <v>13.8340888</v>
      </c>
      <c r="M1046" s="204">
        <f t="shared" si="267"/>
        <v>17.430044800000001</v>
      </c>
      <c r="N1046" s="204">
        <f t="shared" si="268"/>
        <v>21.780080000000002</v>
      </c>
    </row>
    <row r="1047" spans="1:14" x14ac:dyDescent="0.25">
      <c r="A1047" s="271">
        <v>4</v>
      </c>
      <c r="B1047" s="272">
        <f t="shared" si="258"/>
        <v>88.56208627837519</v>
      </c>
      <c r="C1047" s="273">
        <f t="shared" si="259"/>
        <v>88.56208627837519</v>
      </c>
      <c r="D1047" s="273">
        <f t="shared" si="269"/>
        <v>88.56208627837519</v>
      </c>
      <c r="E1047" s="273">
        <f t="shared" si="270"/>
        <v>88.56208627837519</v>
      </c>
      <c r="F1047" s="266">
        <f t="shared" si="260"/>
        <v>2</v>
      </c>
      <c r="G1047" s="266">
        <f t="shared" si="261"/>
        <v>2</v>
      </c>
      <c r="H1047" s="266">
        <f t="shared" si="262"/>
        <v>2</v>
      </c>
      <c r="I1047" s="312">
        <f t="shared" si="263"/>
        <v>1.1102799999999999</v>
      </c>
      <c r="J1047" s="312">
        <f t="shared" si="264"/>
        <v>1.3988799999999999</v>
      </c>
      <c r="K1047" s="323">
        <f t="shared" si="265"/>
        <v>1.748</v>
      </c>
      <c r="L1047" s="204">
        <f t="shared" si="266"/>
        <v>13.8340888</v>
      </c>
      <c r="M1047" s="204">
        <f t="shared" si="267"/>
        <v>17.430044800000001</v>
      </c>
      <c r="N1047" s="204">
        <f t="shared" si="268"/>
        <v>21.780080000000002</v>
      </c>
    </row>
    <row r="1048" spans="1:14" x14ac:dyDescent="0.25">
      <c r="A1048" s="271">
        <v>5</v>
      </c>
      <c r="B1048" s="272">
        <f t="shared" si="258"/>
        <v>88.256007690255871</v>
      </c>
      <c r="C1048" s="273">
        <f t="shared" si="259"/>
        <v>88.256007690255871</v>
      </c>
      <c r="D1048" s="273">
        <f t="shared" si="269"/>
        <v>88.256007690255871</v>
      </c>
      <c r="E1048" s="273">
        <f t="shared" si="270"/>
        <v>88.256007690255871</v>
      </c>
      <c r="F1048" s="266">
        <f t="shared" si="260"/>
        <v>2</v>
      </c>
      <c r="G1048" s="266">
        <f t="shared" si="261"/>
        <v>2</v>
      </c>
      <c r="H1048" s="266">
        <f t="shared" si="262"/>
        <v>2</v>
      </c>
      <c r="I1048" s="312">
        <f t="shared" si="263"/>
        <v>1.1102799999999999</v>
      </c>
      <c r="J1048" s="312">
        <f t="shared" si="264"/>
        <v>1.3988799999999999</v>
      </c>
      <c r="K1048" s="323">
        <f t="shared" si="265"/>
        <v>1.748</v>
      </c>
      <c r="L1048" s="204">
        <f t="shared" si="266"/>
        <v>13.8340888</v>
      </c>
      <c r="M1048" s="204">
        <f t="shared" si="267"/>
        <v>17.430044800000001</v>
      </c>
      <c r="N1048" s="204">
        <f t="shared" si="268"/>
        <v>21.780080000000002</v>
      </c>
    </row>
    <row r="1049" spans="1:14" x14ac:dyDescent="0.25">
      <c r="A1049" s="271">
        <v>6</v>
      </c>
      <c r="B1049" s="272">
        <f t="shared" si="258"/>
        <v>87.940746744492955</v>
      </c>
      <c r="C1049" s="273">
        <f t="shared" si="259"/>
        <v>87.940746744492955</v>
      </c>
      <c r="D1049" s="273">
        <f t="shared" si="269"/>
        <v>87.940746744492955</v>
      </c>
      <c r="E1049" s="273">
        <f t="shared" si="270"/>
        <v>87.940746744492955</v>
      </c>
      <c r="F1049" s="266">
        <f t="shared" si="260"/>
        <v>2</v>
      </c>
      <c r="G1049" s="266">
        <f t="shared" si="261"/>
        <v>2</v>
      </c>
      <c r="H1049" s="266">
        <f t="shared" si="262"/>
        <v>2</v>
      </c>
      <c r="I1049" s="312">
        <f t="shared" si="263"/>
        <v>1.1102799999999999</v>
      </c>
      <c r="J1049" s="312">
        <f t="shared" si="264"/>
        <v>1.3988799999999999</v>
      </c>
      <c r="K1049" s="323">
        <f t="shared" si="265"/>
        <v>1.748</v>
      </c>
      <c r="L1049" s="204">
        <f t="shared" si="266"/>
        <v>13.8340888</v>
      </c>
      <c r="M1049" s="204">
        <f t="shared" si="267"/>
        <v>17.430044800000001</v>
      </c>
      <c r="N1049" s="204">
        <f t="shared" si="268"/>
        <v>21.780080000000002</v>
      </c>
    </row>
    <row r="1050" spans="1:14" x14ac:dyDescent="0.25">
      <c r="A1050" s="271">
        <v>7</v>
      </c>
      <c r="B1050" s="272">
        <f t="shared" si="258"/>
        <v>87.616027970357166</v>
      </c>
      <c r="C1050" s="273">
        <f t="shared" si="259"/>
        <v>87.616027970357166</v>
      </c>
      <c r="D1050" s="273">
        <f t="shared" si="269"/>
        <v>87.616027970357166</v>
      </c>
      <c r="E1050" s="273">
        <f t="shared" si="270"/>
        <v>87.616027970357166</v>
      </c>
      <c r="F1050" s="266">
        <f t="shared" si="260"/>
        <v>2</v>
      </c>
      <c r="G1050" s="266">
        <f t="shared" si="261"/>
        <v>2</v>
      </c>
      <c r="H1050" s="266">
        <f t="shared" si="262"/>
        <v>2</v>
      </c>
      <c r="I1050" s="312">
        <f t="shared" si="263"/>
        <v>1.1102799999999999</v>
      </c>
      <c r="J1050" s="312">
        <f t="shared" si="264"/>
        <v>1.3988799999999999</v>
      </c>
      <c r="K1050" s="323">
        <f t="shared" si="265"/>
        <v>1.748</v>
      </c>
      <c r="L1050" s="204">
        <f t="shared" si="266"/>
        <v>13.8340888</v>
      </c>
      <c r="M1050" s="204">
        <f t="shared" si="267"/>
        <v>17.430044800000001</v>
      </c>
      <c r="N1050" s="204">
        <f t="shared" si="268"/>
        <v>21.780080000000002</v>
      </c>
    </row>
    <row r="1051" spans="1:14" x14ac:dyDescent="0.25">
      <c r="A1051" s="271">
        <v>8</v>
      </c>
      <c r="B1051" s="272">
        <f t="shared" si="258"/>
        <v>87.28156763299728</v>
      </c>
      <c r="C1051" s="273">
        <f t="shared" si="259"/>
        <v>87.28156763299728</v>
      </c>
      <c r="D1051" s="273">
        <f t="shared" si="269"/>
        <v>87.28156763299728</v>
      </c>
      <c r="E1051" s="273">
        <f t="shared" si="270"/>
        <v>87.28156763299728</v>
      </c>
      <c r="F1051" s="266">
        <f t="shared" si="260"/>
        <v>2</v>
      </c>
      <c r="G1051" s="266">
        <f t="shared" si="261"/>
        <v>2</v>
      </c>
      <c r="H1051" s="266">
        <f t="shared" si="262"/>
        <v>2</v>
      </c>
      <c r="I1051" s="312">
        <f t="shared" si="263"/>
        <v>1.1102799999999999</v>
      </c>
      <c r="J1051" s="312">
        <f t="shared" si="264"/>
        <v>1.3988799999999999</v>
      </c>
      <c r="K1051" s="323">
        <f t="shared" si="265"/>
        <v>1.748</v>
      </c>
      <c r="L1051" s="204">
        <f t="shared" si="266"/>
        <v>13.8340888</v>
      </c>
      <c r="M1051" s="204">
        <f t="shared" si="267"/>
        <v>17.430044800000001</v>
      </c>
      <c r="N1051" s="204">
        <f t="shared" si="268"/>
        <v>21.780080000000002</v>
      </c>
    </row>
    <row r="1052" spans="1:14" x14ac:dyDescent="0.25">
      <c r="A1052" s="271">
        <v>9</v>
      </c>
      <c r="B1052" s="272">
        <f t="shared" si="258"/>
        <v>86.937073485516621</v>
      </c>
      <c r="C1052" s="273">
        <f t="shared" si="259"/>
        <v>86.937073485516621</v>
      </c>
      <c r="D1052" s="273">
        <f t="shared" si="269"/>
        <v>86.937073485516621</v>
      </c>
      <c r="E1052" s="273">
        <f t="shared" si="270"/>
        <v>86.937073485516621</v>
      </c>
      <c r="F1052" s="266">
        <f t="shared" si="260"/>
        <v>2</v>
      </c>
      <c r="G1052" s="266">
        <f t="shared" si="261"/>
        <v>2</v>
      </c>
      <c r="H1052" s="266">
        <f t="shared" si="262"/>
        <v>2</v>
      </c>
      <c r="I1052" s="312">
        <f t="shared" si="263"/>
        <v>1.1102799999999999</v>
      </c>
      <c r="J1052" s="312">
        <f t="shared" si="264"/>
        <v>1.3988799999999999</v>
      </c>
      <c r="K1052" s="323">
        <f t="shared" si="265"/>
        <v>1.748</v>
      </c>
      <c r="L1052" s="204">
        <f t="shared" si="266"/>
        <v>13.8340888</v>
      </c>
      <c r="M1052" s="204">
        <f t="shared" si="267"/>
        <v>17.430044800000001</v>
      </c>
      <c r="N1052" s="204">
        <f t="shared" si="268"/>
        <v>21.780080000000002</v>
      </c>
    </row>
    <row r="1053" spans="1:14" x14ac:dyDescent="0.25">
      <c r="A1053" s="271">
        <v>10</v>
      </c>
      <c r="B1053" s="272">
        <f t="shared" si="258"/>
        <v>86.582244513611528</v>
      </c>
      <c r="C1053" s="273">
        <f t="shared" si="259"/>
        <v>86.582244513611528</v>
      </c>
      <c r="D1053" s="273">
        <f t="shared" si="269"/>
        <v>86.582244513611528</v>
      </c>
      <c r="E1053" s="273">
        <f t="shared" si="270"/>
        <v>86.582244513611528</v>
      </c>
      <c r="F1053" s="266">
        <f t="shared" si="260"/>
        <v>2</v>
      </c>
      <c r="G1053" s="266">
        <f t="shared" si="261"/>
        <v>2</v>
      </c>
      <c r="H1053" s="266">
        <f t="shared" si="262"/>
        <v>2</v>
      </c>
      <c r="I1053" s="312">
        <f t="shared" si="263"/>
        <v>1.1102799999999999</v>
      </c>
      <c r="J1053" s="312">
        <f t="shared" si="264"/>
        <v>1.3988799999999999</v>
      </c>
      <c r="K1053" s="323">
        <f t="shared" si="265"/>
        <v>1.748</v>
      </c>
      <c r="L1053" s="204">
        <f t="shared" si="266"/>
        <v>13.8340888</v>
      </c>
      <c r="M1053" s="204">
        <f t="shared" si="267"/>
        <v>17.430044800000001</v>
      </c>
      <c r="N1053" s="204">
        <f t="shared" si="268"/>
        <v>21.780080000000002</v>
      </c>
    </row>
    <row r="1054" spans="1:14" x14ac:dyDescent="0.25">
      <c r="A1054" s="271">
        <v>11</v>
      </c>
      <c r="B1054" s="272">
        <f t="shared" si="258"/>
        <v>86.216770672549288</v>
      </c>
      <c r="C1054" s="273">
        <f t="shared" si="259"/>
        <v>86.216770672549288</v>
      </c>
      <c r="D1054" s="273">
        <f t="shared" si="269"/>
        <v>86.216770672549288</v>
      </c>
      <c r="E1054" s="273">
        <f t="shared" si="270"/>
        <v>86.216770672549288</v>
      </c>
      <c r="F1054" s="266">
        <f t="shared" si="260"/>
        <v>2</v>
      </c>
      <c r="G1054" s="266">
        <f t="shared" si="261"/>
        <v>2</v>
      </c>
      <c r="H1054" s="266">
        <f t="shared" si="262"/>
        <v>2</v>
      </c>
      <c r="I1054" s="312">
        <f t="shared" si="263"/>
        <v>1.1102799999999999</v>
      </c>
      <c r="J1054" s="312">
        <f t="shared" si="264"/>
        <v>1.3988799999999999</v>
      </c>
      <c r="K1054" s="323">
        <f t="shared" si="265"/>
        <v>1.748</v>
      </c>
      <c r="L1054" s="204">
        <f t="shared" si="266"/>
        <v>13.8340888</v>
      </c>
      <c r="M1054" s="204">
        <f t="shared" si="267"/>
        <v>17.430044800000001</v>
      </c>
      <c r="N1054" s="204">
        <f t="shared" si="268"/>
        <v>21.780080000000002</v>
      </c>
    </row>
    <row r="1055" spans="1:14" x14ac:dyDescent="0.25">
      <c r="A1055" s="271">
        <v>12</v>
      </c>
      <c r="B1055" s="272">
        <f t="shared" si="258"/>
        <v>85.840332616255168</v>
      </c>
      <c r="C1055" s="273">
        <f t="shared" si="259"/>
        <v>85.840332616255168</v>
      </c>
      <c r="D1055" s="273">
        <f t="shared" si="269"/>
        <v>85.840332616255168</v>
      </c>
      <c r="E1055" s="273">
        <f t="shared" si="270"/>
        <v>85.840332616255168</v>
      </c>
      <c r="F1055" s="266">
        <f t="shared" si="260"/>
        <v>2</v>
      </c>
      <c r="G1055" s="266">
        <f t="shared" si="261"/>
        <v>2</v>
      </c>
      <c r="H1055" s="266">
        <f t="shared" si="262"/>
        <v>2</v>
      </c>
      <c r="I1055" s="312">
        <f t="shared" si="263"/>
        <v>1.1102799999999999</v>
      </c>
      <c r="J1055" s="312">
        <f t="shared" si="264"/>
        <v>1.3988799999999999</v>
      </c>
      <c r="K1055" s="323">
        <f t="shared" si="265"/>
        <v>1.748</v>
      </c>
      <c r="L1055" s="204">
        <f t="shared" si="266"/>
        <v>13.8340888</v>
      </c>
      <c r="M1055" s="204">
        <f t="shared" si="267"/>
        <v>17.430044800000001</v>
      </c>
      <c r="N1055" s="204">
        <f t="shared" si="268"/>
        <v>21.780080000000002</v>
      </c>
    </row>
    <row r="1056" spans="1:14" x14ac:dyDescent="0.25">
      <c r="A1056" s="271">
        <v>13</v>
      </c>
      <c r="B1056" s="272">
        <f t="shared" si="258"/>
        <v>85.452601418272238</v>
      </c>
      <c r="C1056" s="273">
        <f t="shared" si="259"/>
        <v>85.452601418272238</v>
      </c>
      <c r="D1056" s="273">
        <f t="shared" si="269"/>
        <v>85.452601418272238</v>
      </c>
      <c r="E1056" s="273">
        <f t="shared" si="270"/>
        <v>85.452601418272238</v>
      </c>
      <c r="F1056" s="266">
        <f t="shared" si="260"/>
        <v>2</v>
      </c>
      <c r="G1056" s="266">
        <f t="shared" si="261"/>
        <v>2</v>
      </c>
      <c r="H1056" s="266">
        <f t="shared" si="262"/>
        <v>2</v>
      </c>
      <c r="I1056" s="312">
        <f t="shared" si="263"/>
        <v>1.1102799999999999</v>
      </c>
      <c r="J1056" s="312">
        <f t="shared" si="264"/>
        <v>1.3988799999999999</v>
      </c>
      <c r="K1056" s="323">
        <f t="shared" si="265"/>
        <v>1.748</v>
      </c>
      <c r="L1056" s="204">
        <f t="shared" si="266"/>
        <v>13.8340888</v>
      </c>
      <c r="M1056" s="204">
        <f t="shared" si="267"/>
        <v>17.430044800000001</v>
      </c>
      <c r="N1056" s="204">
        <f t="shared" si="268"/>
        <v>21.780080000000002</v>
      </c>
    </row>
    <row r="1057" spans="1:14" x14ac:dyDescent="0.25">
      <c r="A1057" s="271">
        <v>14</v>
      </c>
      <c r="B1057" s="272">
        <f t="shared" si="258"/>
        <v>85.053238284349817</v>
      </c>
      <c r="C1057" s="273">
        <f t="shared" si="259"/>
        <v>85.053238284349817</v>
      </c>
      <c r="D1057" s="273">
        <f t="shared" si="269"/>
        <v>85.053238284349817</v>
      </c>
      <c r="E1057" s="273">
        <f t="shared" si="270"/>
        <v>85.053238284349817</v>
      </c>
      <c r="F1057" s="266">
        <f t="shared" si="260"/>
        <v>2</v>
      </c>
      <c r="G1057" s="266">
        <f t="shared" si="261"/>
        <v>2</v>
      </c>
      <c r="H1057" s="266">
        <f t="shared" si="262"/>
        <v>2</v>
      </c>
      <c r="I1057" s="312">
        <f t="shared" si="263"/>
        <v>1.1102799999999999</v>
      </c>
      <c r="J1057" s="312">
        <f t="shared" si="264"/>
        <v>1.3988799999999999</v>
      </c>
      <c r="K1057" s="323">
        <f t="shared" si="265"/>
        <v>1.748</v>
      </c>
      <c r="L1057" s="204">
        <f t="shared" si="266"/>
        <v>13.8340888</v>
      </c>
      <c r="M1057" s="204">
        <f t="shared" si="267"/>
        <v>17.430044800000001</v>
      </c>
      <c r="N1057" s="204">
        <f t="shared" si="268"/>
        <v>21.780080000000002</v>
      </c>
    </row>
    <row r="1058" spans="1:14" x14ac:dyDescent="0.25">
      <c r="A1058" s="271">
        <v>15</v>
      </c>
      <c r="B1058" s="272">
        <f t="shared" si="258"/>
        <v>84.641894256409728</v>
      </c>
      <c r="C1058" s="273">
        <f t="shared" si="259"/>
        <v>84.641894256409728</v>
      </c>
      <c r="D1058" s="273">
        <f t="shared" si="269"/>
        <v>84.641894256409728</v>
      </c>
      <c r="E1058" s="273">
        <f t="shared" si="270"/>
        <v>84.641894256409728</v>
      </c>
      <c r="F1058" s="266">
        <f t="shared" si="260"/>
        <v>2</v>
      </c>
      <c r="G1058" s="266">
        <f t="shared" si="261"/>
        <v>2</v>
      </c>
      <c r="H1058" s="266">
        <f t="shared" si="262"/>
        <v>2</v>
      </c>
      <c r="I1058" s="312">
        <f t="shared" si="263"/>
        <v>1.1102799999999999</v>
      </c>
      <c r="J1058" s="312">
        <f t="shared" si="264"/>
        <v>1.3988799999999999</v>
      </c>
      <c r="K1058" s="323">
        <f t="shared" si="265"/>
        <v>1.748</v>
      </c>
      <c r="L1058" s="204">
        <f t="shared" si="266"/>
        <v>13.8340888</v>
      </c>
      <c r="M1058" s="204">
        <f t="shared" si="267"/>
        <v>17.430044800000001</v>
      </c>
      <c r="N1058" s="204">
        <f t="shared" si="268"/>
        <v>21.780080000000002</v>
      </c>
    </row>
    <row r="1059" spans="1:14" x14ac:dyDescent="0.25">
      <c r="A1059" s="271">
        <v>16</v>
      </c>
      <c r="B1059" s="272">
        <f t="shared" si="258"/>
        <v>84.376323994313182</v>
      </c>
      <c r="C1059" s="273">
        <f t="shared" si="259"/>
        <v>84.376323994313182</v>
      </c>
      <c r="D1059" s="273">
        <f t="shared" si="269"/>
        <v>84.376323994313182</v>
      </c>
      <c r="E1059" s="273">
        <f t="shared" si="270"/>
        <v>84.376323994313182</v>
      </c>
      <c r="F1059" s="266">
        <f t="shared" si="260"/>
        <v>2</v>
      </c>
      <c r="G1059" s="266">
        <f t="shared" si="261"/>
        <v>2</v>
      </c>
      <c r="H1059" s="266">
        <f t="shared" si="262"/>
        <v>2</v>
      </c>
      <c r="I1059" s="312">
        <f t="shared" si="263"/>
        <v>1.1102799999999999</v>
      </c>
      <c r="J1059" s="312">
        <f t="shared" si="264"/>
        <v>1.3988799999999999</v>
      </c>
      <c r="K1059" s="323">
        <f t="shared" si="265"/>
        <v>1.748</v>
      </c>
      <c r="L1059" s="204">
        <f t="shared" si="266"/>
        <v>13.8340888</v>
      </c>
      <c r="M1059" s="204">
        <f t="shared" si="267"/>
        <v>17.430044800000001</v>
      </c>
      <c r="N1059" s="204">
        <f t="shared" si="268"/>
        <v>21.780080000000002</v>
      </c>
    </row>
    <row r="1060" spans="1:14" x14ac:dyDescent="0.25">
      <c r="A1060" s="271">
        <v>17</v>
      </c>
      <c r="B1060" s="272">
        <f t="shared" si="258"/>
        <v>83.944672537671991</v>
      </c>
      <c r="C1060" s="273">
        <f t="shared" si="259"/>
        <v>83.944672537671991</v>
      </c>
      <c r="D1060" s="273">
        <f t="shared" si="269"/>
        <v>83.944672537671991</v>
      </c>
      <c r="E1060" s="273">
        <f t="shared" si="270"/>
        <v>83.944672537671991</v>
      </c>
      <c r="F1060" s="266">
        <f t="shared" si="260"/>
        <v>2</v>
      </c>
      <c r="G1060" s="266">
        <f t="shared" si="261"/>
        <v>2</v>
      </c>
      <c r="H1060" s="266">
        <f t="shared" si="262"/>
        <v>2</v>
      </c>
      <c r="I1060" s="312">
        <f t="shared" si="263"/>
        <v>1.1102799999999999</v>
      </c>
      <c r="J1060" s="312">
        <f t="shared" si="264"/>
        <v>1.3988799999999999</v>
      </c>
      <c r="K1060" s="323">
        <f t="shared" si="265"/>
        <v>1.748</v>
      </c>
      <c r="L1060" s="204">
        <f t="shared" si="266"/>
        <v>13.8340888</v>
      </c>
      <c r="M1060" s="204">
        <f t="shared" si="267"/>
        <v>17.430044800000001</v>
      </c>
      <c r="N1060" s="204">
        <f t="shared" si="268"/>
        <v>21.780080000000002</v>
      </c>
    </row>
    <row r="1061" spans="1:14" x14ac:dyDescent="0.25">
      <c r="A1061" s="271">
        <v>18</v>
      </c>
      <c r="B1061" s="272">
        <f t="shared" si="258"/>
        <v>83.500071537331578</v>
      </c>
      <c r="C1061" s="273">
        <f t="shared" si="259"/>
        <v>83.500071537331578</v>
      </c>
      <c r="D1061" s="273">
        <f t="shared" si="269"/>
        <v>83.500071537331578</v>
      </c>
      <c r="E1061" s="273">
        <f t="shared" si="270"/>
        <v>83.500071537331578</v>
      </c>
      <c r="F1061" s="266">
        <f t="shared" si="260"/>
        <v>2</v>
      </c>
      <c r="G1061" s="266">
        <f t="shared" si="261"/>
        <v>2</v>
      </c>
      <c r="H1061" s="266">
        <f t="shared" si="262"/>
        <v>2</v>
      </c>
      <c r="I1061" s="312">
        <f t="shared" si="263"/>
        <v>1.1102799999999999</v>
      </c>
      <c r="J1061" s="312">
        <f t="shared" si="264"/>
        <v>1.3988799999999999</v>
      </c>
      <c r="K1061" s="323">
        <f t="shared" si="265"/>
        <v>1.748</v>
      </c>
      <c r="L1061" s="204">
        <f t="shared" si="266"/>
        <v>13.8340888</v>
      </c>
      <c r="M1061" s="204">
        <f t="shared" si="267"/>
        <v>17.430044800000001</v>
      </c>
      <c r="N1061" s="204">
        <f t="shared" si="268"/>
        <v>21.780080000000002</v>
      </c>
    </row>
    <row r="1062" spans="1:14" x14ac:dyDescent="0.25">
      <c r="A1062" s="271">
        <v>19</v>
      </c>
      <c r="B1062" s="272">
        <f t="shared" si="258"/>
        <v>83.042132506980934</v>
      </c>
      <c r="C1062" s="273">
        <f t="shared" si="259"/>
        <v>83.042132506980934</v>
      </c>
      <c r="D1062" s="273">
        <f t="shared" si="269"/>
        <v>83.042132506980934</v>
      </c>
      <c r="E1062" s="273">
        <f t="shared" si="270"/>
        <v>83.042132506980934</v>
      </c>
      <c r="F1062" s="266">
        <f t="shared" si="260"/>
        <v>2</v>
      </c>
      <c r="G1062" s="266">
        <f t="shared" si="261"/>
        <v>2</v>
      </c>
      <c r="H1062" s="266">
        <f t="shared" si="262"/>
        <v>2</v>
      </c>
      <c r="I1062" s="312">
        <f t="shared" si="263"/>
        <v>1.1102799999999999</v>
      </c>
      <c r="J1062" s="312">
        <f t="shared" si="264"/>
        <v>1.3988799999999999</v>
      </c>
      <c r="K1062" s="323">
        <f t="shared" si="265"/>
        <v>1.748</v>
      </c>
      <c r="L1062" s="204">
        <f t="shared" si="266"/>
        <v>13.8340888</v>
      </c>
      <c r="M1062" s="204">
        <f t="shared" si="267"/>
        <v>17.430044800000001</v>
      </c>
      <c r="N1062" s="204">
        <f t="shared" si="268"/>
        <v>21.780080000000002</v>
      </c>
    </row>
    <row r="1063" spans="1:14" x14ac:dyDescent="0.25">
      <c r="A1063" s="271">
        <v>20</v>
      </c>
      <c r="B1063" s="272">
        <f t="shared" si="258"/>
        <v>82.570455305719761</v>
      </c>
      <c r="C1063" s="273">
        <f t="shared" si="259"/>
        <v>82.570455305719761</v>
      </c>
      <c r="D1063" s="273">
        <f t="shared" si="269"/>
        <v>82.570455305719761</v>
      </c>
      <c r="E1063" s="273">
        <f t="shared" si="270"/>
        <v>82.570455305719761</v>
      </c>
      <c r="F1063" s="266">
        <f t="shared" si="260"/>
        <v>2</v>
      </c>
      <c r="G1063" s="266">
        <f t="shared" si="261"/>
        <v>2</v>
      </c>
      <c r="H1063" s="266">
        <f t="shared" si="262"/>
        <v>2</v>
      </c>
      <c r="I1063" s="312">
        <f t="shared" si="263"/>
        <v>1.1102799999999999</v>
      </c>
      <c r="J1063" s="312">
        <f t="shared" si="264"/>
        <v>1.3988799999999999</v>
      </c>
      <c r="K1063" s="323">
        <f t="shared" si="265"/>
        <v>1.748</v>
      </c>
      <c r="L1063" s="204">
        <f t="shared" si="266"/>
        <v>13.8340888</v>
      </c>
      <c r="M1063" s="204">
        <f t="shared" si="267"/>
        <v>17.430044800000001</v>
      </c>
      <c r="N1063" s="204">
        <f t="shared" si="268"/>
        <v>21.780080000000002</v>
      </c>
    </row>
    <row r="1064" spans="1:14" x14ac:dyDescent="0.25">
      <c r="A1064" s="271">
        <v>21</v>
      </c>
      <c r="B1064" s="272">
        <f t="shared" si="258"/>
        <v>82.084627788420775</v>
      </c>
      <c r="C1064" s="273">
        <f t="shared" si="259"/>
        <v>82.084627788420775</v>
      </c>
      <c r="D1064" s="273">
        <f t="shared" si="269"/>
        <v>82.084627788420775</v>
      </c>
      <c r="E1064" s="273">
        <f t="shared" si="270"/>
        <v>82.084627788420775</v>
      </c>
      <c r="F1064" s="266">
        <f t="shared" si="260"/>
        <v>2</v>
      </c>
      <c r="G1064" s="266">
        <f t="shared" si="261"/>
        <v>2</v>
      </c>
      <c r="H1064" s="266">
        <f t="shared" si="262"/>
        <v>2</v>
      </c>
      <c r="I1064" s="312">
        <f t="shared" si="263"/>
        <v>1.1102799999999999</v>
      </c>
      <c r="J1064" s="312">
        <f t="shared" si="264"/>
        <v>1.3988799999999999</v>
      </c>
      <c r="K1064" s="323">
        <f t="shared" si="265"/>
        <v>1.748</v>
      </c>
      <c r="L1064" s="204">
        <f t="shared" si="266"/>
        <v>13.8340888</v>
      </c>
      <c r="M1064" s="204">
        <f t="shared" si="267"/>
        <v>17.430044800000001</v>
      </c>
      <c r="N1064" s="204">
        <f t="shared" si="268"/>
        <v>21.780080000000002</v>
      </c>
    </row>
    <row r="1065" spans="1:14" x14ac:dyDescent="0.25">
      <c r="A1065" s="271">
        <v>22</v>
      </c>
      <c r="B1065" s="272">
        <f t="shared" si="258"/>
        <v>81.584225445602812</v>
      </c>
      <c r="C1065" s="273">
        <f t="shared" si="259"/>
        <v>81.584225445602812</v>
      </c>
      <c r="D1065" s="273">
        <f t="shared" si="269"/>
        <v>81.584225445602812</v>
      </c>
      <c r="E1065" s="273">
        <f t="shared" si="270"/>
        <v>81.584225445602812</v>
      </c>
      <c r="F1065" s="266">
        <f t="shared" si="260"/>
        <v>2</v>
      </c>
      <c r="G1065" s="266">
        <f t="shared" si="261"/>
        <v>2</v>
      </c>
      <c r="H1065" s="266">
        <f t="shared" si="262"/>
        <v>2</v>
      </c>
      <c r="I1065" s="312">
        <f t="shared" si="263"/>
        <v>1.1102799999999999</v>
      </c>
      <c r="J1065" s="312">
        <f t="shared" si="264"/>
        <v>1.3988799999999999</v>
      </c>
      <c r="K1065" s="323">
        <f t="shared" si="265"/>
        <v>1.748</v>
      </c>
      <c r="L1065" s="204">
        <f t="shared" si="266"/>
        <v>13.8340888</v>
      </c>
      <c r="M1065" s="204">
        <f t="shared" si="267"/>
        <v>17.430044800000001</v>
      </c>
      <c r="N1065" s="204">
        <f t="shared" si="268"/>
        <v>21.780080000000002</v>
      </c>
    </row>
    <row r="1066" spans="1:14" x14ac:dyDescent="0.25">
      <c r="A1066" s="271">
        <v>23</v>
      </c>
      <c r="B1066" s="272">
        <f t="shared" si="258"/>
        <v>81.068811032500321</v>
      </c>
      <c r="C1066" s="273">
        <f t="shared" si="259"/>
        <v>81.068811032500321</v>
      </c>
      <c r="D1066" s="273">
        <f t="shared" si="269"/>
        <v>81.068811032500321</v>
      </c>
      <c r="E1066" s="273">
        <f t="shared" si="270"/>
        <v>81.068811032500321</v>
      </c>
      <c r="F1066" s="266">
        <f t="shared" si="260"/>
        <v>2</v>
      </c>
      <c r="G1066" s="266">
        <f t="shared" si="261"/>
        <v>2</v>
      </c>
      <c r="H1066" s="266">
        <f t="shared" si="262"/>
        <v>2</v>
      </c>
      <c r="I1066" s="312">
        <f t="shared" si="263"/>
        <v>1.1102799999999999</v>
      </c>
      <c r="J1066" s="312">
        <f t="shared" si="264"/>
        <v>1.3988799999999999</v>
      </c>
      <c r="K1066" s="323">
        <f t="shared" si="265"/>
        <v>1.748</v>
      </c>
      <c r="L1066" s="204">
        <f t="shared" si="266"/>
        <v>13.8340888</v>
      </c>
      <c r="M1066" s="204">
        <f t="shared" si="267"/>
        <v>17.430044800000001</v>
      </c>
      <c r="N1066" s="204">
        <f t="shared" si="268"/>
        <v>21.780080000000002</v>
      </c>
    </row>
    <row r="1067" spans="1:14" x14ac:dyDescent="0.25">
      <c r="A1067" s="271">
        <v>24</v>
      </c>
      <c r="B1067" s="272">
        <f t="shared" si="258"/>
        <v>80.537934187004737</v>
      </c>
      <c r="C1067" s="273">
        <f t="shared" si="259"/>
        <v>80.537934187004737</v>
      </c>
      <c r="D1067" s="273">
        <f t="shared" si="269"/>
        <v>80.537934187004737</v>
      </c>
      <c r="E1067" s="273">
        <f t="shared" si="270"/>
        <v>80.537934187004737</v>
      </c>
      <c r="F1067" s="266">
        <f t="shared" si="260"/>
        <v>2</v>
      </c>
      <c r="G1067" s="266">
        <f t="shared" si="261"/>
        <v>2</v>
      </c>
      <c r="H1067" s="266">
        <f t="shared" si="262"/>
        <v>2</v>
      </c>
      <c r="I1067" s="312">
        <f t="shared" si="263"/>
        <v>1.1102799999999999</v>
      </c>
      <c r="J1067" s="312">
        <f t="shared" si="264"/>
        <v>1.3988799999999999</v>
      </c>
      <c r="K1067" s="323">
        <f t="shared" si="265"/>
        <v>1.748</v>
      </c>
      <c r="L1067" s="204">
        <f t="shared" si="266"/>
        <v>13.8340888</v>
      </c>
      <c r="M1067" s="204">
        <f t="shared" si="267"/>
        <v>17.430044800000001</v>
      </c>
      <c r="N1067" s="204">
        <f t="shared" si="268"/>
        <v>21.780080000000002</v>
      </c>
    </row>
    <row r="1068" spans="1:14" x14ac:dyDescent="0.25">
      <c r="A1068" s="271">
        <v>25</v>
      </c>
      <c r="B1068" s="272">
        <f t="shared" si="258"/>
        <v>79.991131036144282</v>
      </c>
      <c r="C1068" s="273">
        <f t="shared" si="259"/>
        <v>79.991131036144282</v>
      </c>
      <c r="D1068" s="273">
        <f t="shared" si="269"/>
        <v>79.991131036144282</v>
      </c>
      <c r="E1068" s="273">
        <f t="shared" si="270"/>
        <v>79.991131036144282</v>
      </c>
      <c r="F1068" s="266">
        <f t="shared" si="260"/>
        <v>2</v>
      </c>
      <c r="G1068" s="266">
        <f t="shared" si="261"/>
        <v>2</v>
      </c>
      <c r="H1068" s="266">
        <f t="shared" si="262"/>
        <v>2</v>
      </c>
      <c r="I1068" s="312">
        <f t="shared" si="263"/>
        <v>1.1102799999999999</v>
      </c>
      <c r="J1068" s="312">
        <f t="shared" si="264"/>
        <v>1.3988799999999999</v>
      </c>
      <c r="K1068" s="323">
        <f t="shared" si="265"/>
        <v>1.748</v>
      </c>
      <c r="L1068" s="204">
        <f t="shared" si="266"/>
        <v>13.8340888</v>
      </c>
      <c r="M1068" s="204">
        <f t="shared" si="267"/>
        <v>17.430044800000001</v>
      </c>
      <c r="N1068" s="204">
        <f t="shared" si="268"/>
        <v>21.780080000000002</v>
      </c>
    </row>
    <row r="1069" spans="1:14" x14ac:dyDescent="0.25">
      <c r="A1069" s="271">
        <v>26</v>
      </c>
      <c r="B1069" s="272">
        <f t="shared" si="258"/>
        <v>79.635846178839699</v>
      </c>
      <c r="C1069" s="273">
        <f t="shared" si="259"/>
        <v>79.635846178839699</v>
      </c>
      <c r="D1069" s="273">
        <f t="shared" si="269"/>
        <v>79.635846178839699</v>
      </c>
      <c r="E1069" s="273">
        <f t="shared" si="270"/>
        <v>79.635846178839699</v>
      </c>
      <c r="F1069" s="266">
        <f t="shared" si="260"/>
        <v>2</v>
      </c>
      <c r="G1069" s="266">
        <f t="shared" si="261"/>
        <v>2</v>
      </c>
      <c r="H1069" s="266">
        <f t="shared" si="262"/>
        <v>2</v>
      </c>
      <c r="I1069" s="312">
        <f t="shared" si="263"/>
        <v>1.1102799999999999</v>
      </c>
      <c r="J1069" s="312">
        <f t="shared" si="264"/>
        <v>1.3988799999999999</v>
      </c>
      <c r="K1069" s="323">
        <f t="shared" si="265"/>
        <v>1.748</v>
      </c>
      <c r="L1069" s="204">
        <f t="shared" si="266"/>
        <v>13.8340888</v>
      </c>
      <c r="M1069" s="204">
        <f t="shared" si="267"/>
        <v>17.430044800000001</v>
      </c>
      <c r="N1069" s="204">
        <f t="shared" si="268"/>
        <v>21.780080000000002</v>
      </c>
    </row>
    <row r="1070" spans="1:14" x14ac:dyDescent="0.25">
      <c r="A1070" s="271">
        <v>27</v>
      </c>
      <c r="B1070" s="272">
        <f t="shared" si="258"/>
        <v>79.061980387734295</v>
      </c>
      <c r="C1070" s="273">
        <f t="shared" si="259"/>
        <v>79.061980387734295</v>
      </c>
      <c r="D1070" s="273">
        <f t="shared" si="269"/>
        <v>79.061980387734295</v>
      </c>
      <c r="E1070" s="273">
        <f t="shared" si="270"/>
        <v>79.061980387734295</v>
      </c>
      <c r="F1070" s="266">
        <f t="shared" si="260"/>
        <v>2</v>
      </c>
      <c r="G1070" s="266">
        <f t="shared" si="261"/>
        <v>2</v>
      </c>
      <c r="H1070" s="266">
        <f t="shared" si="262"/>
        <v>2</v>
      </c>
      <c r="I1070" s="312">
        <f t="shared" si="263"/>
        <v>1.1102799999999999</v>
      </c>
      <c r="J1070" s="312">
        <f t="shared" si="264"/>
        <v>1.3988799999999999</v>
      </c>
      <c r="K1070" s="323">
        <f t="shared" si="265"/>
        <v>1.748</v>
      </c>
      <c r="L1070" s="204">
        <f t="shared" si="266"/>
        <v>13.8340888</v>
      </c>
      <c r="M1070" s="204">
        <f t="shared" si="267"/>
        <v>17.430044800000001</v>
      </c>
      <c r="N1070" s="204">
        <f t="shared" si="268"/>
        <v>21.780080000000002</v>
      </c>
    </row>
    <row r="1071" spans="1:14" x14ac:dyDescent="0.25">
      <c r="A1071" s="271">
        <v>28</v>
      </c>
      <c r="B1071" s="272">
        <f t="shared" si="258"/>
        <v>78.470898622895731</v>
      </c>
      <c r="C1071" s="273">
        <f t="shared" si="259"/>
        <v>78.470898622895731</v>
      </c>
      <c r="D1071" s="273">
        <f t="shared" si="269"/>
        <v>78.470898622895731</v>
      </c>
      <c r="E1071" s="273">
        <f t="shared" si="270"/>
        <v>78.470898622895731</v>
      </c>
      <c r="F1071" s="266">
        <f t="shared" si="260"/>
        <v>2</v>
      </c>
      <c r="G1071" s="266">
        <f t="shared" si="261"/>
        <v>2</v>
      </c>
      <c r="H1071" s="266">
        <f t="shared" si="262"/>
        <v>2</v>
      </c>
      <c r="I1071" s="312">
        <f t="shared" si="263"/>
        <v>1.1102799999999999</v>
      </c>
      <c r="J1071" s="312">
        <f t="shared" si="264"/>
        <v>1.3988799999999999</v>
      </c>
      <c r="K1071" s="323">
        <f t="shared" si="265"/>
        <v>1.748</v>
      </c>
      <c r="L1071" s="204">
        <f t="shared" si="266"/>
        <v>13.8340888</v>
      </c>
      <c r="M1071" s="204">
        <f t="shared" si="267"/>
        <v>17.430044800000001</v>
      </c>
      <c r="N1071" s="204">
        <f t="shared" si="268"/>
        <v>21.780080000000002</v>
      </c>
    </row>
    <row r="1072" spans="1:14" x14ac:dyDescent="0.25">
      <c r="A1072" s="271">
        <v>29</v>
      </c>
      <c r="B1072" s="272">
        <f t="shared" si="258"/>
        <v>77.862084405112014</v>
      </c>
      <c r="C1072" s="273">
        <f t="shared" si="259"/>
        <v>77.862084405112014</v>
      </c>
      <c r="D1072" s="273">
        <f t="shared" si="269"/>
        <v>77.862084405112014</v>
      </c>
      <c r="E1072" s="273">
        <f t="shared" si="270"/>
        <v>77.862084405112014</v>
      </c>
      <c r="F1072" s="266">
        <f t="shared" si="260"/>
        <v>2</v>
      </c>
      <c r="G1072" s="266">
        <f t="shared" si="261"/>
        <v>2</v>
      </c>
      <c r="H1072" s="266">
        <f t="shared" si="262"/>
        <v>2</v>
      </c>
      <c r="I1072" s="312">
        <f t="shared" si="263"/>
        <v>1.1102799999999999</v>
      </c>
      <c r="J1072" s="312">
        <f t="shared" si="264"/>
        <v>1.3988799999999999</v>
      </c>
      <c r="K1072" s="323">
        <f t="shared" si="265"/>
        <v>1.748</v>
      </c>
      <c r="L1072" s="204">
        <f t="shared" si="266"/>
        <v>13.8340888</v>
      </c>
      <c r="M1072" s="204">
        <f t="shared" si="267"/>
        <v>17.430044800000001</v>
      </c>
      <c r="N1072" s="204">
        <f t="shared" si="268"/>
        <v>21.780080000000002</v>
      </c>
    </row>
    <row r="1073" spans="1:14" x14ac:dyDescent="0.25">
      <c r="A1073" s="271">
        <v>30</v>
      </c>
      <c r="B1073" s="272">
        <f t="shared" si="258"/>
        <v>77.235005760794792</v>
      </c>
      <c r="C1073" s="273">
        <f t="shared" si="259"/>
        <v>77.235005760794792</v>
      </c>
      <c r="D1073" s="273">
        <f t="shared" si="269"/>
        <v>77.235005760794792</v>
      </c>
      <c r="E1073" s="273">
        <f t="shared" si="270"/>
        <v>77.235005760794792</v>
      </c>
      <c r="F1073" s="266">
        <f t="shared" si="260"/>
        <v>2</v>
      </c>
      <c r="G1073" s="266">
        <f t="shared" si="261"/>
        <v>2</v>
      </c>
      <c r="H1073" s="266">
        <f t="shared" si="262"/>
        <v>2</v>
      </c>
      <c r="I1073" s="312">
        <f t="shared" si="263"/>
        <v>1.1102799999999999</v>
      </c>
      <c r="J1073" s="312">
        <f t="shared" si="264"/>
        <v>1.3988799999999999</v>
      </c>
      <c r="K1073" s="323">
        <f t="shared" si="265"/>
        <v>1.748</v>
      </c>
      <c r="L1073" s="204">
        <f t="shared" si="266"/>
        <v>13.8340888</v>
      </c>
      <c r="M1073" s="204">
        <f t="shared" si="267"/>
        <v>17.430044800000001</v>
      </c>
      <c r="N1073" s="204">
        <f t="shared" si="268"/>
        <v>21.780080000000002</v>
      </c>
    </row>
    <row r="1074" spans="1:14" x14ac:dyDescent="0.25">
      <c r="A1074" s="271">
        <v>31</v>
      </c>
      <c r="B1074" s="272">
        <f t="shared" si="258"/>
        <v>76.589114757148039</v>
      </c>
      <c r="C1074" s="273">
        <f t="shared" si="259"/>
        <v>76.589114757148039</v>
      </c>
      <c r="D1074" s="273">
        <f>C1074</f>
        <v>76.589114757148039</v>
      </c>
      <c r="E1074" s="273">
        <f>D1074</f>
        <v>76.589114757148039</v>
      </c>
      <c r="F1074" s="266">
        <f t="shared" si="260"/>
        <v>2</v>
      </c>
      <c r="G1074" s="266">
        <f t="shared" si="261"/>
        <v>2</v>
      </c>
      <c r="H1074" s="266">
        <f t="shared" si="262"/>
        <v>2</v>
      </c>
      <c r="I1074" s="312">
        <f>0.00006*(F1074)^3+0.0002*(F1074)^2+0.043*(F1074)+1.023</f>
        <v>1.1102799999999999</v>
      </c>
      <c r="J1074" s="312">
        <f>0.00006*(G1074)^3-0.00015*(G1074)^2+0.048*(G1074)+1.303</f>
        <v>1.3988799999999999</v>
      </c>
      <c r="K1074" s="323">
        <f>0.054*(H1074)+1.64</f>
        <v>1.748</v>
      </c>
      <c r="L1074" s="204">
        <f t="shared" ref="L1074:N1075" si="271">$B$1040*I1074</f>
        <v>13.8340888</v>
      </c>
      <c r="M1074" s="204">
        <f t="shared" si="271"/>
        <v>17.430044800000001</v>
      </c>
      <c r="N1074" s="204">
        <f t="shared" si="271"/>
        <v>21.780080000000002</v>
      </c>
    </row>
    <row r="1075" spans="1:14" x14ac:dyDescent="0.25">
      <c r="A1075" s="271">
        <v>32</v>
      </c>
      <c r="B1075" s="272">
        <f t="shared" si="258"/>
        <v>75.9238470233919</v>
      </c>
      <c r="C1075" s="273">
        <f t="shared" si="259"/>
        <v>75.9238470233919</v>
      </c>
      <c r="D1075" s="273">
        <f>C1075</f>
        <v>75.9238470233919</v>
      </c>
      <c r="E1075" s="273">
        <f>D1075</f>
        <v>75.9238470233919</v>
      </c>
      <c r="F1075" s="266">
        <f t="shared" si="260"/>
        <v>2</v>
      </c>
      <c r="G1075" s="266">
        <f t="shared" si="261"/>
        <v>2</v>
      </c>
      <c r="H1075" s="266">
        <f t="shared" si="262"/>
        <v>2</v>
      </c>
      <c r="I1075" s="312">
        <f>0.00006*(F1075)^3+0.0002*(F1075)^2+0.043*(F1075)+1.023</f>
        <v>1.1102799999999999</v>
      </c>
      <c r="J1075" s="312">
        <f>0.00006*(G1075)^3-0.00015*(G1075)^2+0.048*(G1075)+1.303</f>
        <v>1.3988799999999999</v>
      </c>
      <c r="K1075" s="323">
        <f>0.054*(H1075)+1.64</f>
        <v>1.748</v>
      </c>
      <c r="L1075" s="204">
        <f t="shared" si="271"/>
        <v>13.8340888</v>
      </c>
      <c r="M1075" s="204">
        <f t="shared" si="271"/>
        <v>17.430044800000001</v>
      </c>
      <c r="N1075" s="204">
        <f t="shared" si="271"/>
        <v>21.780080000000002</v>
      </c>
    </row>
    <row r="1076" spans="1:14" x14ac:dyDescent="0.25">
      <c r="A1076" s="239" t="s">
        <v>44</v>
      </c>
      <c r="B1076" s="239"/>
      <c r="C1076" s="19"/>
    </row>
    <row r="1077" spans="1:14" x14ac:dyDescent="0.25">
      <c r="A1077" t="s">
        <v>283</v>
      </c>
      <c r="C1077" t="s">
        <v>259</v>
      </c>
    </row>
    <row r="1078" spans="1:14" x14ac:dyDescent="0.25">
      <c r="A1078" s="43" t="s">
        <v>228</v>
      </c>
      <c r="B1078" s="43">
        <f>B1040</f>
        <v>12.46</v>
      </c>
    </row>
    <row r="1079" spans="1:14" x14ac:dyDescent="0.25">
      <c r="A1079" s="43" t="s">
        <v>99</v>
      </c>
      <c r="B1079" s="169" t="str">
        <f>B1003</f>
        <v>P</v>
      </c>
      <c r="C1079" s="575" t="s">
        <v>229</v>
      </c>
      <c r="D1079" s="575"/>
      <c r="E1079" s="575"/>
      <c r="F1079" s="575" t="s">
        <v>230</v>
      </c>
      <c r="G1079" s="576"/>
      <c r="H1079" s="576"/>
      <c r="I1079" s="575" t="s">
        <v>231</v>
      </c>
      <c r="J1079" s="575"/>
      <c r="K1079" s="575"/>
      <c r="L1079" s="575" t="s">
        <v>240</v>
      </c>
      <c r="M1079" s="575"/>
      <c r="N1079" s="575"/>
    </row>
    <row r="1080" spans="1:14" x14ac:dyDescent="0.25">
      <c r="A1080" s="35" t="s">
        <v>18</v>
      </c>
      <c r="B1080" s="95" t="s">
        <v>20</v>
      </c>
      <c r="C1080" s="270" t="s">
        <v>233</v>
      </c>
      <c r="D1080" s="270" t="s">
        <v>234</v>
      </c>
      <c r="E1080" s="270" t="s">
        <v>235</v>
      </c>
      <c r="F1080" s="270" t="s">
        <v>233</v>
      </c>
      <c r="G1080" s="270" t="s">
        <v>234</v>
      </c>
      <c r="H1080" s="270" t="s">
        <v>235</v>
      </c>
      <c r="I1080" s="270" t="s">
        <v>233</v>
      </c>
      <c r="J1080" s="270" t="s">
        <v>234</v>
      </c>
      <c r="K1080" s="270" t="s">
        <v>235</v>
      </c>
      <c r="L1080" s="270" t="s">
        <v>233</v>
      </c>
      <c r="M1080" s="270" t="s">
        <v>234</v>
      </c>
      <c r="N1080" s="270" t="s">
        <v>235</v>
      </c>
    </row>
    <row r="1081" spans="1:14" x14ac:dyDescent="0.25">
      <c r="A1081" s="271">
        <v>0</v>
      </c>
      <c r="B1081" s="272">
        <f>B96*$G$994</f>
        <v>68.705882352941174</v>
      </c>
      <c r="C1081" s="273">
        <f>B1081</f>
        <v>68.705882352941174</v>
      </c>
      <c r="D1081" s="273">
        <f>C1081</f>
        <v>68.705882352941174</v>
      </c>
      <c r="E1081" s="273">
        <f>D1081</f>
        <v>68.705882352941174</v>
      </c>
      <c r="F1081" s="266">
        <f>IF(C1081&gt;$B$987,2,IF(C1081&gt;$B$988,3,IF(C1081&gt;$B$989,4,IF(C1081&gt;$B$990,5,IF(C1081&gt;$B$991,6,IF(C1081&gt;$B$992,7,IF(C1081&gt;$B$993,8,IF(C1081&gt;$B$994,9,IF(C1081&gt;$B$995,10,IF(C1081&gt;$B$996,11,IF(C1081&gt;$B$997,12,12)))))))))))</f>
        <v>5</v>
      </c>
      <c r="G1081" s="266">
        <f>IF(D1081&gt;$C$987,2,IF(D1081&gt;$C$988,3,IF(D1081&gt;$C$989,4,IF(D1081&gt;$C$990,5,IF(D1081&gt;$C$991,6,IF(D1081&gt;$C$992,7,IF(D1081&gt;$C$993,8,IF(D1081&gt;$C$994,9,IF(D1081&gt;$C$995,10,IF(D1081&gt;$C$996,11,IF(D1081&gt;$C$997,12,12)))))))))))</f>
        <v>2</v>
      </c>
      <c r="H1081" s="266">
        <f>IF(E1081&gt;$D$987,2,IF(E1081&gt;$D$988,3,IF(E1081&gt;$D$989,4,IF(E1081&gt;$D$990,5,IF(E1081&gt;$D$991,6,IF(E1081&gt;$D$992,7,IF(E1081&gt;$D$993,8,IF(E1081&gt;$D$994,9,IF(E1081&gt;$D$995,10,IF(E1081&gt;$D$996,11,IF(E1081&gt;$D$997,12,12)))))))))))</f>
        <v>2</v>
      </c>
      <c r="I1081" s="312">
        <f>0.00006*(F1081)^3+0.0002*(F1081)^2+0.043*(F1081)+1.023</f>
        <v>1.2504999999999999</v>
      </c>
      <c r="J1081" s="312">
        <f>0.00006*(G1081)^3-0.00015*(G1081)^2+0.048*(G1081)+1.303</f>
        <v>1.3988799999999999</v>
      </c>
      <c r="K1081" s="323">
        <f>0.054*(H1081)+1.64</f>
        <v>1.748</v>
      </c>
      <c r="L1081" s="204">
        <f>$B$1040*I1081</f>
        <v>15.58123</v>
      </c>
      <c r="M1081" s="204">
        <f>$B$1040*J1081</f>
        <v>17.430044800000001</v>
      </c>
      <c r="N1081" s="204">
        <f>$B$1040*K1081</f>
        <v>21.780080000000002</v>
      </c>
    </row>
    <row r="1082" spans="1:14" x14ac:dyDescent="0.25">
      <c r="A1082" s="271">
        <v>1</v>
      </c>
      <c r="B1082" s="272">
        <f t="shared" ref="B1082:B1113" si="272">B97*$G$994</f>
        <v>68.705882352941174</v>
      </c>
      <c r="C1082" s="273">
        <f t="shared" ref="C1082:C1113" si="273">B1082</f>
        <v>68.705882352941174</v>
      </c>
      <c r="D1082" s="311">
        <f>C1082</f>
        <v>68.705882352941174</v>
      </c>
      <c r="E1082" s="311">
        <f>D1082</f>
        <v>68.705882352941174</v>
      </c>
      <c r="F1082" s="266">
        <f t="shared" ref="F1082:F1113" si="274">IF(C1082&gt;$B$987,2,IF(C1082&gt;$B$988,3,IF(C1082&gt;$B$989,4,IF(C1082&gt;$B$990,5,IF(C1082&gt;$B$991,6,IF(C1082&gt;$B$992,7,IF(C1082&gt;$B$993,8,IF(C1082&gt;$B$994,9,IF(C1082&gt;$B$995,10,IF(C1082&gt;$B$996,11,IF(C1082&gt;$B$997,12,12)))))))))))</f>
        <v>5</v>
      </c>
      <c r="G1082" s="266">
        <f t="shared" ref="G1082:G1113" si="275">IF(D1082&gt;$C$987,2,IF(D1082&gt;$C$988,3,IF(D1082&gt;$C$989,4,IF(D1082&gt;$C$990,5,IF(D1082&gt;$C$991,6,IF(D1082&gt;$C$992,7,IF(D1082&gt;$C$993,8,IF(D1082&gt;$C$994,9,IF(D1082&gt;$C$995,10,IF(D1082&gt;$C$996,11,IF(D1082&gt;$C$997,12,12)))))))))))</f>
        <v>2</v>
      </c>
      <c r="H1082" s="266">
        <f t="shared" ref="H1082:H1113" si="276">IF(E1082&gt;$D$987,2,IF(E1082&gt;$D$988,3,IF(E1082&gt;$D$989,4,IF(E1082&gt;$D$990,5,IF(E1082&gt;$D$991,6,IF(E1082&gt;$D$992,7,IF(E1082&gt;$D$993,8,IF(E1082&gt;$D$994,9,IF(E1082&gt;$D$995,10,IF(E1082&gt;$D$996,11,IF(E1082&gt;$D$997,12,12)))))))))))</f>
        <v>2</v>
      </c>
      <c r="I1082" s="312">
        <f t="shared" ref="I1082:I1111" si="277">0.00006*(F1082)^3+0.0002*(F1082)^2+0.043*(F1082)+1.023</f>
        <v>1.2504999999999999</v>
      </c>
      <c r="J1082" s="312">
        <f t="shared" ref="J1082:J1111" si="278">0.00006*(G1082)^3-0.00015*(G1082)^2+0.048*(G1082)+1.303</f>
        <v>1.3988799999999999</v>
      </c>
      <c r="K1082" s="323">
        <f t="shared" ref="K1082:K1111" si="279">0.054*(H1082)+1.64</f>
        <v>1.748</v>
      </c>
      <c r="L1082" s="204">
        <f t="shared" ref="L1082:L1111" si="280">$B$1040*I1082</f>
        <v>15.58123</v>
      </c>
      <c r="M1082" s="204">
        <f t="shared" ref="M1082:M1111" si="281">$B$1040*J1082</f>
        <v>17.430044800000001</v>
      </c>
      <c r="N1082" s="204">
        <f t="shared" ref="N1082:N1111" si="282">$B$1040*K1082</f>
        <v>21.780080000000002</v>
      </c>
    </row>
    <row r="1083" spans="1:14" x14ac:dyDescent="0.25">
      <c r="A1083" s="271">
        <v>2</v>
      </c>
      <c r="B1083" s="272">
        <f t="shared" si="272"/>
        <v>68.705882352941174</v>
      </c>
      <c r="C1083" s="273">
        <f t="shared" si="273"/>
        <v>68.705882352941174</v>
      </c>
      <c r="D1083" s="273">
        <f>C1083</f>
        <v>68.705882352941174</v>
      </c>
      <c r="E1083" s="273">
        <f>D1083</f>
        <v>68.705882352941174</v>
      </c>
      <c r="F1083" s="266">
        <f t="shared" si="274"/>
        <v>5</v>
      </c>
      <c r="G1083" s="266">
        <f t="shared" si="275"/>
        <v>2</v>
      </c>
      <c r="H1083" s="266">
        <f t="shared" si="276"/>
        <v>2</v>
      </c>
      <c r="I1083" s="312">
        <f t="shared" si="277"/>
        <v>1.2504999999999999</v>
      </c>
      <c r="J1083" s="312">
        <f t="shared" si="278"/>
        <v>1.3988799999999999</v>
      </c>
      <c r="K1083" s="323">
        <f t="shared" si="279"/>
        <v>1.748</v>
      </c>
      <c r="L1083" s="204">
        <f t="shared" si="280"/>
        <v>15.58123</v>
      </c>
      <c r="M1083" s="204">
        <f t="shared" si="281"/>
        <v>17.430044800000001</v>
      </c>
      <c r="N1083" s="204">
        <f t="shared" si="282"/>
        <v>21.780080000000002</v>
      </c>
    </row>
    <row r="1084" spans="1:14" x14ac:dyDescent="0.25">
      <c r="A1084" s="271">
        <v>3</v>
      </c>
      <c r="B1084" s="272">
        <f t="shared" si="272"/>
        <v>68.705882352941174</v>
      </c>
      <c r="C1084" s="273">
        <f t="shared" si="273"/>
        <v>68.705882352941174</v>
      </c>
      <c r="D1084" s="273">
        <f t="shared" ref="D1084:D1111" si="283">C1084</f>
        <v>68.705882352941174</v>
      </c>
      <c r="E1084" s="273">
        <f t="shared" ref="E1084:E1111" si="284">D1084</f>
        <v>68.705882352941174</v>
      </c>
      <c r="F1084" s="266">
        <f t="shared" si="274"/>
        <v>5</v>
      </c>
      <c r="G1084" s="266">
        <f t="shared" si="275"/>
        <v>2</v>
      </c>
      <c r="H1084" s="266">
        <f t="shared" si="276"/>
        <v>2</v>
      </c>
      <c r="I1084" s="312">
        <f t="shared" si="277"/>
        <v>1.2504999999999999</v>
      </c>
      <c r="J1084" s="312">
        <f t="shared" si="278"/>
        <v>1.3988799999999999</v>
      </c>
      <c r="K1084" s="323">
        <f t="shared" si="279"/>
        <v>1.748</v>
      </c>
      <c r="L1084" s="204">
        <f t="shared" si="280"/>
        <v>15.58123</v>
      </c>
      <c r="M1084" s="204">
        <f t="shared" si="281"/>
        <v>17.430044800000001</v>
      </c>
      <c r="N1084" s="204">
        <f t="shared" si="282"/>
        <v>21.780080000000002</v>
      </c>
    </row>
    <row r="1085" spans="1:14" x14ac:dyDescent="0.25">
      <c r="A1085" s="271">
        <v>4</v>
      </c>
      <c r="B1085" s="272">
        <f t="shared" si="272"/>
        <v>68.705882352941174</v>
      </c>
      <c r="C1085" s="273">
        <f t="shared" si="273"/>
        <v>68.705882352941174</v>
      </c>
      <c r="D1085" s="273">
        <f t="shared" si="283"/>
        <v>68.705882352941174</v>
      </c>
      <c r="E1085" s="273">
        <f t="shared" si="284"/>
        <v>68.705882352941174</v>
      </c>
      <c r="F1085" s="266">
        <f t="shared" si="274"/>
        <v>5</v>
      </c>
      <c r="G1085" s="266">
        <f t="shared" si="275"/>
        <v>2</v>
      </c>
      <c r="H1085" s="266">
        <f t="shared" si="276"/>
        <v>2</v>
      </c>
      <c r="I1085" s="312">
        <f t="shared" si="277"/>
        <v>1.2504999999999999</v>
      </c>
      <c r="J1085" s="312">
        <f t="shared" si="278"/>
        <v>1.3988799999999999</v>
      </c>
      <c r="K1085" s="323">
        <f t="shared" si="279"/>
        <v>1.748</v>
      </c>
      <c r="L1085" s="204">
        <f t="shared" si="280"/>
        <v>15.58123</v>
      </c>
      <c r="M1085" s="204">
        <f t="shared" si="281"/>
        <v>17.430044800000001</v>
      </c>
      <c r="N1085" s="204">
        <f t="shared" si="282"/>
        <v>21.780080000000002</v>
      </c>
    </row>
    <row r="1086" spans="1:14" x14ac:dyDescent="0.25">
      <c r="A1086" s="271">
        <v>5</v>
      </c>
      <c r="B1086" s="272">
        <f t="shared" si="272"/>
        <v>68.705882352941174</v>
      </c>
      <c r="C1086" s="273">
        <f t="shared" si="273"/>
        <v>68.705882352941174</v>
      </c>
      <c r="D1086" s="273">
        <f t="shared" si="283"/>
        <v>68.705882352941174</v>
      </c>
      <c r="E1086" s="273">
        <f t="shared" si="284"/>
        <v>68.705882352941174</v>
      </c>
      <c r="F1086" s="266">
        <f t="shared" si="274"/>
        <v>5</v>
      </c>
      <c r="G1086" s="266">
        <f t="shared" si="275"/>
        <v>2</v>
      </c>
      <c r="H1086" s="266">
        <f t="shared" si="276"/>
        <v>2</v>
      </c>
      <c r="I1086" s="312">
        <f t="shared" si="277"/>
        <v>1.2504999999999999</v>
      </c>
      <c r="J1086" s="312">
        <f t="shared" si="278"/>
        <v>1.3988799999999999</v>
      </c>
      <c r="K1086" s="323">
        <f t="shared" si="279"/>
        <v>1.748</v>
      </c>
      <c r="L1086" s="204">
        <f t="shared" si="280"/>
        <v>15.58123</v>
      </c>
      <c r="M1086" s="204">
        <f t="shared" si="281"/>
        <v>17.430044800000001</v>
      </c>
      <c r="N1086" s="204">
        <f t="shared" si="282"/>
        <v>21.780080000000002</v>
      </c>
    </row>
    <row r="1087" spans="1:14" x14ac:dyDescent="0.25">
      <c r="A1087" s="271">
        <v>6</v>
      </c>
      <c r="B1087" s="272">
        <f t="shared" si="272"/>
        <v>68.705882352941174</v>
      </c>
      <c r="C1087" s="273">
        <f t="shared" si="273"/>
        <v>68.705882352941174</v>
      </c>
      <c r="D1087" s="273">
        <f t="shared" si="283"/>
        <v>68.705882352941174</v>
      </c>
      <c r="E1087" s="273">
        <f t="shared" si="284"/>
        <v>68.705882352941174</v>
      </c>
      <c r="F1087" s="266">
        <f t="shared" si="274"/>
        <v>5</v>
      </c>
      <c r="G1087" s="266">
        <f t="shared" si="275"/>
        <v>2</v>
      </c>
      <c r="H1087" s="266">
        <f t="shared" si="276"/>
        <v>2</v>
      </c>
      <c r="I1087" s="312">
        <f t="shared" si="277"/>
        <v>1.2504999999999999</v>
      </c>
      <c r="J1087" s="312">
        <f t="shared" si="278"/>
        <v>1.3988799999999999</v>
      </c>
      <c r="K1087" s="323">
        <f t="shared" si="279"/>
        <v>1.748</v>
      </c>
      <c r="L1087" s="204">
        <f t="shared" si="280"/>
        <v>15.58123</v>
      </c>
      <c r="M1087" s="204">
        <f t="shared" si="281"/>
        <v>17.430044800000001</v>
      </c>
      <c r="N1087" s="204">
        <f t="shared" si="282"/>
        <v>21.780080000000002</v>
      </c>
    </row>
    <row r="1088" spans="1:14" x14ac:dyDescent="0.25">
      <c r="A1088" s="271">
        <v>7</v>
      </c>
      <c r="B1088" s="272">
        <f t="shared" si="272"/>
        <v>68.705882352941174</v>
      </c>
      <c r="C1088" s="273">
        <f t="shared" si="273"/>
        <v>68.705882352941174</v>
      </c>
      <c r="D1088" s="273">
        <f t="shared" si="283"/>
        <v>68.705882352941174</v>
      </c>
      <c r="E1088" s="273">
        <f t="shared" si="284"/>
        <v>68.705882352941174</v>
      </c>
      <c r="F1088" s="266">
        <f t="shared" si="274"/>
        <v>5</v>
      </c>
      <c r="G1088" s="266">
        <f t="shared" si="275"/>
        <v>2</v>
      </c>
      <c r="H1088" s="266">
        <f t="shared" si="276"/>
        <v>2</v>
      </c>
      <c r="I1088" s="312">
        <f t="shared" si="277"/>
        <v>1.2504999999999999</v>
      </c>
      <c r="J1088" s="312">
        <f t="shared" si="278"/>
        <v>1.3988799999999999</v>
      </c>
      <c r="K1088" s="323">
        <f t="shared" si="279"/>
        <v>1.748</v>
      </c>
      <c r="L1088" s="204">
        <f t="shared" si="280"/>
        <v>15.58123</v>
      </c>
      <c r="M1088" s="204">
        <f t="shared" si="281"/>
        <v>17.430044800000001</v>
      </c>
      <c r="N1088" s="204">
        <f t="shared" si="282"/>
        <v>21.780080000000002</v>
      </c>
    </row>
    <row r="1089" spans="1:14" x14ac:dyDescent="0.25">
      <c r="A1089" s="271">
        <v>8</v>
      </c>
      <c r="B1089" s="272">
        <f t="shared" si="272"/>
        <v>68.705882352941174</v>
      </c>
      <c r="C1089" s="273">
        <f t="shared" si="273"/>
        <v>68.705882352941174</v>
      </c>
      <c r="D1089" s="273">
        <f t="shared" si="283"/>
        <v>68.705882352941174</v>
      </c>
      <c r="E1089" s="273">
        <f t="shared" si="284"/>
        <v>68.705882352941174</v>
      </c>
      <c r="F1089" s="266">
        <f t="shared" si="274"/>
        <v>5</v>
      </c>
      <c r="G1089" s="266">
        <f t="shared" si="275"/>
        <v>2</v>
      </c>
      <c r="H1089" s="266">
        <f t="shared" si="276"/>
        <v>2</v>
      </c>
      <c r="I1089" s="312">
        <f t="shared" si="277"/>
        <v>1.2504999999999999</v>
      </c>
      <c r="J1089" s="312">
        <f t="shared" si="278"/>
        <v>1.3988799999999999</v>
      </c>
      <c r="K1089" s="323">
        <f t="shared" si="279"/>
        <v>1.748</v>
      </c>
      <c r="L1089" s="204">
        <f t="shared" si="280"/>
        <v>15.58123</v>
      </c>
      <c r="M1089" s="204">
        <f t="shared" si="281"/>
        <v>17.430044800000001</v>
      </c>
      <c r="N1089" s="204">
        <f t="shared" si="282"/>
        <v>21.780080000000002</v>
      </c>
    </row>
    <row r="1090" spans="1:14" x14ac:dyDescent="0.25">
      <c r="A1090" s="271">
        <v>9</v>
      </c>
      <c r="B1090" s="272">
        <f t="shared" si="272"/>
        <v>68.705882352941174</v>
      </c>
      <c r="C1090" s="273">
        <f t="shared" si="273"/>
        <v>68.705882352941174</v>
      </c>
      <c r="D1090" s="273">
        <f t="shared" si="283"/>
        <v>68.705882352941174</v>
      </c>
      <c r="E1090" s="273">
        <f t="shared" si="284"/>
        <v>68.705882352941174</v>
      </c>
      <c r="F1090" s="266">
        <f t="shared" si="274"/>
        <v>5</v>
      </c>
      <c r="G1090" s="266">
        <f t="shared" si="275"/>
        <v>2</v>
      </c>
      <c r="H1090" s="266">
        <f t="shared" si="276"/>
        <v>2</v>
      </c>
      <c r="I1090" s="312">
        <f t="shared" si="277"/>
        <v>1.2504999999999999</v>
      </c>
      <c r="J1090" s="312">
        <f t="shared" si="278"/>
        <v>1.3988799999999999</v>
      </c>
      <c r="K1090" s="323">
        <f t="shared" si="279"/>
        <v>1.748</v>
      </c>
      <c r="L1090" s="204">
        <f t="shared" si="280"/>
        <v>15.58123</v>
      </c>
      <c r="M1090" s="204">
        <f t="shared" si="281"/>
        <v>17.430044800000001</v>
      </c>
      <c r="N1090" s="204">
        <f t="shared" si="282"/>
        <v>21.780080000000002</v>
      </c>
    </row>
    <row r="1091" spans="1:14" x14ac:dyDescent="0.25">
      <c r="A1091" s="271">
        <v>10</v>
      </c>
      <c r="B1091" s="272">
        <f t="shared" si="272"/>
        <v>68.705882352941174</v>
      </c>
      <c r="C1091" s="273">
        <f t="shared" si="273"/>
        <v>68.705882352941174</v>
      </c>
      <c r="D1091" s="273">
        <f t="shared" si="283"/>
        <v>68.705882352941174</v>
      </c>
      <c r="E1091" s="273">
        <f t="shared" si="284"/>
        <v>68.705882352941174</v>
      </c>
      <c r="F1091" s="266">
        <f t="shared" si="274"/>
        <v>5</v>
      </c>
      <c r="G1091" s="266">
        <f t="shared" si="275"/>
        <v>2</v>
      </c>
      <c r="H1091" s="266">
        <f t="shared" si="276"/>
        <v>2</v>
      </c>
      <c r="I1091" s="312">
        <f t="shared" si="277"/>
        <v>1.2504999999999999</v>
      </c>
      <c r="J1091" s="312">
        <f t="shared" si="278"/>
        <v>1.3988799999999999</v>
      </c>
      <c r="K1091" s="323">
        <f t="shared" si="279"/>
        <v>1.748</v>
      </c>
      <c r="L1091" s="204">
        <f t="shared" si="280"/>
        <v>15.58123</v>
      </c>
      <c r="M1091" s="204">
        <f t="shared" si="281"/>
        <v>17.430044800000001</v>
      </c>
      <c r="N1091" s="204">
        <f t="shared" si="282"/>
        <v>21.780080000000002</v>
      </c>
    </row>
    <row r="1092" spans="1:14" x14ac:dyDescent="0.25">
      <c r="A1092" s="271">
        <v>11</v>
      </c>
      <c r="B1092" s="272">
        <f t="shared" si="272"/>
        <v>68.705882352941174</v>
      </c>
      <c r="C1092" s="273">
        <f t="shared" si="273"/>
        <v>68.705882352941174</v>
      </c>
      <c r="D1092" s="273">
        <f t="shared" si="283"/>
        <v>68.705882352941174</v>
      </c>
      <c r="E1092" s="273">
        <f t="shared" si="284"/>
        <v>68.705882352941174</v>
      </c>
      <c r="F1092" s="266">
        <f t="shared" si="274"/>
        <v>5</v>
      </c>
      <c r="G1092" s="266">
        <f t="shared" si="275"/>
        <v>2</v>
      </c>
      <c r="H1092" s="266">
        <f t="shared" si="276"/>
        <v>2</v>
      </c>
      <c r="I1092" s="312">
        <f t="shared" si="277"/>
        <v>1.2504999999999999</v>
      </c>
      <c r="J1092" s="312">
        <f t="shared" si="278"/>
        <v>1.3988799999999999</v>
      </c>
      <c r="K1092" s="323">
        <f t="shared" si="279"/>
        <v>1.748</v>
      </c>
      <c r="L1092" s="204">
        <f t="shared" si="280"/>
        <v>15.58123</v>
      </c>
      <c r="M1092" s="204">
        <f t="shared" si="281"/>
        <v>17.430044800000001</v>
      </c>
      <c r="N1092" s="204">
        <f t="shared" si="282"/>
        <v>21.780080000000002</v>
      </c>
    </row>
    <row r="1093" spans="1:14" x14ac:dyDescent="0.25">
      <c r="A1093" s="271">
        <v>12</v>
      </c>
      <c r="B1093" s="272">
        <f t="shared" si="272"/>
        <v>61.835294117647052</v>
      </c>
      <c r="C1093" s="273">
        <f t="shared" si="273"/>
        <v>61.835294117647052</v>
      </c>
      <c r="D1093" s="273">
        <f t="shared" si="283"/>
        <v>61.835294117647052</v>
      </c>
      <c r="E1093" s="273">
        <f t="shared" si="284"/>
        <v>61.835294117647052</v>
      </c>
      <c r="F1093" s="266">
        <f t="shared" si="274"/>
        <v>6</v>
      </c>
      <c r="G1093" s="266">
        <f t="shared" si="275"/>
        <v>2</v>
      </c>
      <c r="H1093" s="266">
        <f t="shared" si="276"/>
        <v>2</v>
      </c>
      <c r="I1093" s="312">
        <f t="shared" si="277"/>
        <v>1.3011599999999999</v>
      </c>
      <c r="J1093" s="312">
        <f t="shared" si="278"/>
        <v>1.3988799999999999</v>
      </c>
      <c r="K1093" s="323">
        <f t="shared" si="279"/>
        <v>1.748</v>
      </c>
      <c r="L1093" s="204">
        <f t="shared" si="280"/>
        <v>16.2124536</v>
      </c>
      <c r="M1093" s="204">
        <f t="shared" si="281"/>
        <v>17.430044800000001</v>
      </c>
      <c r="N1093" s="204">
        <f t="shared" si="282"/>
        <v>21.780080000000002</v>
      </c>
    </row>
    <row r="1094" spans="1:14" x14ac:dyDescent="0.25">
      <c r="A1094" s="271">
        <v>13</v>
      </c>
      <c r="B1094" s="272">
        <f t="shared" si="272"/>
        <v>61.835294117647052</v>
      </c>
      <c r="C1094" s="273">
        <f t="shared" si="273"/>
        <v>61.835294117647052</v>
      </c>
      <c r="D1094" s="273">
        <f t="shared" si="283"/>
        <v>61.835294117647052</v>
      </c>
      <c r="E1094" s="273">
        <f t="shared" si="284"/>
        <v>61.835294117647052</v>
      </c>
      <c r="F1094" s="266">
        <f t="shared" si="274"/>
        <v>6</v>
      </c>
      <c r="G1094" s="266">
        <f t="shared" si="275"/>
        <v>2</v>
      </c>
      <c r="H1094" s="266">
        <f t="shared" si="276"/>
        <v>2</v>
      </c>
      <c r="I1094" s="312">
        <f t="shared" si="277"/>
        <v>1.3011599999999999</v>
      </c>
      <c r="J1094" s="312">
        <f t="shared" si="278"/>
        <v>1.3988799999999999</v>
      </c>
      <c r="K1094" s="323">
        <f t="shared" si="279"/>
        <v>1.748</v>
      </c>
      <c r="L1094" s="204">
        <f t="shared" si="280"/>
        <v>16.2124536</v>
      </c>
      <c r="M1094" s="204">
        <f t="shared" si="281"/>
        <v>17.430044800000001</v>
      </c>
      <c r="N1094" s="204">
        <f t="shared" si="282"/>
        <v>21.780080000000002</v>
      </c>
    </row>
    <row r="1095" spans="1:14" x14ac:dyDescent="0.25">
      <c r="A1095" s="271">
        <v>14</v>
      </c>
      <c r="B1095" s="272">
        <f t="shared" si="272"/>
        <v>61.835294117647052</v>
      </c>
      <c r="C1095" s="273">
        <f t="shared" si="273"/>
        <v>61.835294117647052</v>
      </c>
      <c r="D1095" s="273">
        <f t="shared" si="283"/>
        <v>61.835294117647052</v>
      </c>
      <c r="E1095" s="273">
        <f t="shared" si="284"/>
        <v>61.835294117647052</v>
      </c>
      <c r="F1095" s="266">
        <f t="shared" si="274"/>
        <v>6</v>
      </c>
      <c r="G1095" s="266">
        <f t="shared" si="275"/>
        <v>2</v>
      </c>
      <c r="H1095" s="266">
        <f t="shared" si="276"/>
        <v>2</v>
      </c>
      <c r="I1095" s="312">
        <f t="shared" si="277"/>
        <v>1.3011599999999999</v>
      </c>
      <c r="J1095" s="312">
        <f t="shared" si="278"/>
        <v>1.3988799999999999</v>
      </c>
      <c r="K1095" s="323">
        <f t="shared" si="279"/>
        <v>1.748</v>
      </c>
      <c r="L1095" s="204">
        <f t="shared" si="280"/>
        <v>16.2124536</v>
      </c>
      <c r="M1095" s="204">
        <f t="shared" si="281"/>
        <v>17.430044800000001</v>
      </c>
      <c r="N1095" s="204">
        <f t="shared" si="282"/>
        <v>21.780080000000002</v>
      </c>
    </row>
    <row r="1096" spans="1:14" x14ac:dyDescent="0.25">
      <c r="A1096" s="271">
        <v>15</v>
      </c>
      <c r="B1096" s="272">
        <f t="shared" si="272"/>
        <v>61.835294117647052</v>
      </c>
      <c r="C1096" s="273">
        <f t="shared" si="273"/>
        <v>61.835294117647052</v>
      </c>
      <c r="D1096" s="273">
        <f t="shared" si="283"/>
        <v>61.835294117647052</v>
      </c>
      <c r="E1096" s="273">
        <f t="shared" si="284"/>
        <v>61.835294117647052</v>
      </c>
      <c r="F1096" s="266">
        <f t="shared" si="274"/>
        <v>6</v>
      </c>
      <c r="G1096" s="266">
        <f t="shared" si="275"/>
        <v>2</v>
      </c>
      <c r="H1096" s="266">
        <f t="shared" si="276"/>
        <v>2</v>
      </c>
      <c r="I1096" s="312">
        <f t="shared" si="277"/>
        <v>1.3011599999999999</v>
      </c>
      <c r="J1096" s="312">
        <f t="shared" si="278"/>
        <v>1.3988799999999999</v>
      </c>
      <c r="K1096" s="323">
        <f t="shared" si="279"/>
        <v>1.748</v>
      </c>
      <c r="L1096" s="204">
        <f t="shared" si="280"/>
        <v>16.2124536</v>
      </c>
      <c r="M1096" s="204">
        <f t="shared" si="281"/>
        <v>17.430044800000001</v>
      </c>
      <c r="N1096" s="204">
        <f t="shared" si="282"/>
        <v>21.780080000000002</v>
      </c>
    </row>
    <row r="1097" spans="1:14" x14ac:dyDescent="0.25">
      <c r="A1097" s="271">
        <v>16</v>
      </c>
      <c r="B1097" s="272">
        <f t="shared" si="272"/>
        <v>61.835294117647052</v>
      </c>
      <c r="C1097" s="273">
        <f t="shared" si="273"/>
        <v>61.835294117647052</v>
      </c>
      <c r="D1097" s="273">
        <f t="shared" si="283"/>
        <v>61.835294117647052</v>
      </c>
      <c r="E1097" s="273">
        <f t="shared" si="284"/>
        <v>61.835294117647052</v>
      </c>
      <c r="F1097" s="266">
        <f t="shared" si="274"/>
        <v>6</v>
      </c>
      <c r="G1097" s="266">
        <f t="shared" si="275"/>
        <v>2</v>
      </c>
      <c r="H1097" s="266">
        <f t="shared" si="276"/>
        <v>2</v>
      </c>
      <c r="I1097" s="312">
        <f t="shared" si="277"/>
        <v>1.3011599999999999</v>
      </c>
      <c r="J1097" s="312">
        <f t="shared" si="278"/>
        <v>1.3988799999999999</v>
      </c>
      <c r="K1097" s="323">
        <f t="shared" si="279"/>
        <v>1.748</v>
      </c>
      <c r="L1097" s="204">
        <f t="shared" si="280"/>
        <v>16.2124536</v>
      </c>
      <c r="M1097" s="204">
        <f t="shared" si="281"/>
        <v>17.430044800000001</v>
      </c>
      <c r="N1097" s="204">
        <f t="shared" si="282"/>
        <v>21.780080000000002</v>
      </c>
    </row>
    <row r="1098" spans="1:14" x14ac:dyDescent="0.25">
      <c r="A1098" s="271">
        <v>17</v>
      </c>
      <c r="B1098" s="272">
        <f t="shared" si="272"/>
        <v>61.835294117647052</v>
      </c>
      <c r="C1098" s="273">
        <f t="shared" si="273"/>
        <v>61.835294117647052</v>
      </c>
      <c r="D1098" s="273">
        <f t="shared" si="283"/>
        <v>61.835294117647052</v>
      </c>
      <c r="E1098" s="273">
        <f t="shared" si="284"/>
        <v>61.835294117647052</v>
      </c>
      <c r="F1098" s="266">
        <f t="shared" si="274"/>
        <v>6</v>
      </c>
      <c r="G1098" s="266">
        <f t="shared" si="275"/>
        <v>2</v>
      </c>
      <c r="H1098" s="266">
        <f t="shared" si="276"/>
        <v>2</v>
      </c>
      <c r="I1098" s="312">
        <f t="shared" si="277"/>
        <v>1.3011599999999999</v>
      </c>
      <c r="J1098" s="312">
        <f t="shared" si="278"/>
        <v>1.3988799999999999</v>
      </c>
      <c r="K1098" s="323">
        <f t="shared" si="279"/>
        <v>1.748</v>
      </c>
      <c r="L1098" s="204">
        <f t="shared" si="280"/>
        <v>16.2124536</v>
      </c>
      <c r="M1098" s="204">
        <f t="shared" si="281"/>
        <v>17.430044800000001</v>
      </c>
      <c r="N1098" s="204">
        <f t="shared" si="282"/>
        <v>21.780080000000002</v>
      </c>
    </row>
    <row r="1099" spans="1:14" x14ac:dyDescent="0.25">
      <c r="A1099" s="271">
        <v>18</v>
      </c>
      <c r="B1099" s="272">
        <f t="shared" si="272"/>
        <v>61.835294117647052</v>
      </c>
      <c r="C1099" s="273">
        <f t="shared" si="273"/>
        <v>61.835294117647052</v>
      </c>
      <c r="D1099" s="273">
        <f t="shared" si="283"/>
        <v>61.835294117647052</v>
      </c>
      <c r="E1099" s="273">
        <f t="shared" si="284"/>
        <v>61.835294117647052</v>
      </c>
      <c r="F1099" s="266">
        <f t="shared" si="274"/>
        <v>6</v>
      </c>
      <c r="G1099" s="266">
        <f t="shared" si="275"/>
        <v>2</v>
      </c>
      <c r="H1099" s="266">
        <f t="shared" si="276"/>
        <v>2</v>
      </c>
      <c r="I1099" s="312">
        <f t="shared" si="277"/>
        <v>1.3011599999999999</v>
      </c>
      <c r="J1099" s="312">
        <f t="shared" si="278"/>
        <v>1.3988799999999999</v>
      </c>
      <c r="K1099" s="323">
        <f t="shared" si="279"/>
        <v>1.748</v>
      </c>
      <c r="L1099" s="204">
        <f t="shared" si="280"/>
        <v>16.2124536</v>
      </c>
      <c r="M1099" s="204">
        <f t="shared" si="281"/>
        <v>17.430044800000001</v>
      </c>
      <c r="N1099" s="204">
        <f t="shared" si="282"/>
        <v>21.780080000000002</v>
      </c>
    </row>
    <row r="1100" spans="1:14" x14ac:dyDescent="0.25">
      <c r="A1100" s="271">
        <v>19</v>
      </c>
      <c r="B1100" s="272">
        <f t="shared" si="272"/>
        <v>61.835294117647052</v>
      </c>
      <c r="C1100" s="273">
        <f t="shared" si="273"/>
        <v>61.835294117647052</v>
      </c>
      <c r="D1100" s="273">
        <f t="shared" si="283"/>
        <v>61.835294117647052</v>
      </c>
      <c r="E1100" s="273">
        <f t="shared" si="284"/>
        <v>61.835294117647052</v>
      </c>
      <c r="F1100" s="266">
        <f t="shared" si="274"/>
        <v>6</v>
      </c>
      <c r="G1100" s="266">
        <f t="shared" si="275"/>
        <v>2</v>
      </c>
      <c r="H1100" s="266">
        <f t="shared" si="276"/>
        <v>2</v>
      </c>
      <c r="I1100" s="312">
        <f t="shared" si="277"/>
        <v>1.3011599999999999</v>
      </c>
      <c r="J1100" s="312">
        <f t="shared" si="278"/>
        <v>1.3988799999999999</v>
      </c>
      <c r="K1100" s="323">
        <f t="shared" si="279"/>
        <v>1.748</v>
      </c>
      <c r="L1100" s="204">
        <f t="shared" si="280"/>
        <v>16.2124536</v>
      </c>
      <c r="M1100" s="204">
        <f t="shared" si="281"/>
        <v>17.430044800000001</v>
      </c>
      <c r="N1100" s="204">
        <f t="shared" si="282"/>
        <v>21.780080000000002</v>
      </c>
    </row>
    <row r="1101" spans="1:14" x14ac:dyDescent="0.25">
      <c r="A1101" s="271">
        <v>20</v>
      </c>
      <c r="B1101" s="272">
        <f t="shared" si="272"/>
        <v>61.835294117647052</v>
      </c>
      <c r="C1101" s="273">
        <f t="shared" si="273"/>
        <v>61.835294117647052</v>
      </c>
      <c r="D1101" s="273">
        <f t="shared" si="283"/>
        <v>61.835294117647052</v>
      </c>
      <c r="E1101" s="273">
        <f t="shared" si="284"/>
        <v>61.835294117647052</v>
      </c>
      <c r="F1101" s="266">
        <f t="shared" si="274"/>
        <v>6</v>
      </c>
      <c r="G1101" s="266">
        <f t="shared" si="275"/>
        <v>2</v>
      </c>
      <c r="H1101" s="266">
        <f t="shared" si="276"/>
        <v>2</v>
      </c>
      <c r="I1101" s="312">
        <f t="shared" si="277"/>
        <v>1.3011599999999999</v>
      </c>
      <c r="J1101" s="312">
        <f t="shared" si="278"/>
        <v>1.3988799999999999</v>
      </c>
      <c r="K1101" s="323">
        <f t="shared" si="279"/>
        <v>1.748</v>
      </c>
      <c r="L1101" s="204">
        <f t="shared" si="280"/>
        <v>16.2124536</v>
      </c>
      <c r="M1101" s="204">
        <f t="shared" si="281"/>
        <v>17.430044800000001</v>
      </c>
      <c r="N1101" s="204">
        <f t="shared" si="282"/>
        <v>21.780080000000002</v>
      </c>
    </row>
    <row r="1102" spans="1:14" x14ac:dyDescent="0.25">
      <c r="A1102" s="271">
        <v>21</v>
      </c>
      <c r="B1102" s="272">
        <f t="shared" si="272"/>
        <v>61.835294117647052</v>
      </c>
      <c r="C1102" s="273">
        <f t="shared" si="273"/>
        <v>61.835294117647052</v>
      </c>
      <c r="D1102" s="273">
        <f t="shared" si="283"/>
        <v>61.835294117647052</v>
      </c>
      <c r="E1102" s="273">
        <f t="shared" si="284"/>
        <v>61.835294117647052</v>
      </c>
      <c r="F1102" s="266">
        <f t="shared" si="274"/>
        <v>6</v>
      </c>
      <c r="G1102" s="266">
        <f t="shared" si="275"/>
        <v>2</v>
      </c>
      <c r="H1102" s="266">
        <f t="shared" si="276"/>
        <v>2</v>
      </c>
      <c r="I1102" s="312">
        <f t="shared" si="277"/>
        <v>1.3011599999999999</v>
      </c>
      <c r="J1102" s="312">
        <f t="shared" si="278"/>
        <v>1.3988799999999999</v>
      </c>
      <c r="K1102" s="323">
        <f t="shared" si="279"/>
        <v>1.748</v>
      </c>
      <c r="L1102" s="204">
        <f t="shared" si="280"/>
        <v>16.2124536</v>
      </c>
      <c r="M1102" s="204">
        <f t="shared" si="281"/>
        <v>17.430044800000001</v>
      </c>
      <c r="N1102" s="204">
        <f t="shared" si="282"/>
        <v>21.780080000000002</v>
      </c>
    </row>
    <row r="1103" spans="1:14" x14ac:dyDescent="0.25">
      <c r="A1103" s="271">
        <v>22</v>
      </c>
      <c r="B1103" s="272">
        <f t="shared" si="272"/>
        <v>61.835294117647052</v>
      </c>
      <c r="C1103" s="273">
        <f t="shared" si="273"/>
        <v>61.835294117647052</v>
      </c>
      <c r="D1103" s="273">
        <f t="shared" si="283"/>
        <v>61.835294117647052</v>
      </c>
      <c r="E1103" s="273">
        <f t="shared" si="284"/>
        <v>61.835294117647052</v>
      </c>
      <c r="F1103" s="266">
        <f t="shared" si="274"/>
        <v>6</v>
      </c>
      <c r="G1103" s="266">
        <f t="shared" si="275"/>
        <v>2</v>
      </c>
      <c r="H1103" s="266">
        <f t="shared" si="276"/>
        <v>2</v>
      </c>
      <c r="I1103" s="312">
        <f t="shared" si="277"/>
        <v>1.3011599999999999</v>
      </c>
      <c r="J1103" s="312">
        <f t="shared" si="278"/>
        <v>1.3988799999999999</v>
      </c>
      <c r="K1103" s="323">
        <f t="shared" si="279"/>
        <v>1.748</v>
      </c>
      <c r="L1103" s="204">
        <f t="shared" si="280"/>
        <v>16.2124536</v>
      </c>
      <c r="M1103" s="204">
        <f t="shared" si="281"/>
        <v>17.430044800000001</v>
      </c>
      <c r="N1103" s="204">
        <f t="shared" si="282"/>
        <v>21.780080000000002</v>
      </c>
    </row>
    <row r="1104" spans="1:14" x14ac:dyDescent="0.25">
      <c r="A1104" s="271">
        <v>23</v>
      </c>
      <c r="B1104" s="272">
        <f t="shared" si="272"/>
        <v>61.835294117647052</v>
      </c>
      <c r="C1104" s="273">
        <f t="shared" si="273"/>
        <v>61.835294117647052</v>
      </c>
      <c r="D1104" s="273">
        <f t="shared" si="283"/>
        <v>61.835294117647052</v>
      </c>
      <c r="E1104" s="273">
        <f t="shared" si="284"/>
        <v>61.835294117647052</v>
      </c>
      <c r="F1104" s="266">
        <f t="shared" si="274"/>
        <v>6</v>
      </c>
      <c r="G1104" s="266">
        <f t="shared" si="275"/>
        <v>2</v>
      </c>
      <c r="H1104" s="266">
        <f t="shared" si="276"/>
        <v>2</v>
      </c>
      <c r="I1104" s="312">
        <f t="shared" si="277"/>
        <v>1.3011599999999999</v>
      </c>
      <c r="J1104" s="312">
        <f t="shared" si="278"/>
        <v>1.3988799999999999</v>
      </c>
      <c r="K1104" s="323">
        <f t="shared" si="279"/>
        <v>1.748</v>
      </c>
      <c r="L1104" s="204">
        <f t="shared" si="280"/>
        <v>16.2124536</v>
      </c>
      <c r="M1104" s="204">
        <f t="shared" si="281"/>
        <v>17.430044800000001</v>
      </c>
      <c r="N1104" s="204">
        <f t="shared" si="282"/>
        <v>21.780080000000002</v>
      </c>
    </row>
    <row r="1105" spans="1:15" x14ac:dyDescent="0.25">
      <c r="A1105" s="271">
        <v>24</v>
      </c>
      <c r="B1105" s="272">
        <f t="shared" si="272"/>
        <v>61.835294117647052</v>
      </c>
      <c r="C1105" s="273">
        <f t="shared" si="273"/>
        <v>61.835294117647052</v>
      </c>
      <c r="D1105" s="273">
        <f t="shared" si="283"/>
        <v>61.835294117647052</v>
      </c>
      <c r="E1105" s="273">
        <f t="shared" si="284"/>
        <v>61.835294117647052</v>
      </c>
      <c r="F1105" s="266">
        <f t="shared" si="274"/>
        <v>6</v>
      </c>
      <c r="G1105" s="266">
        <f t="shared" si="275"/>
        <v>2</v>
      </c>
      <c r="H1105" s="266">
        <f t="shared" si="276"/>
        <v>2</v>
      </c>
      <c r="I1105" s="312">
        <f t="shared" si="277"/>
        <v>1.3011599999999999</v>
      </c>
      <c r="J1105" s="312">
        <f t="shared" si="278"/>
        <v>1.3988799999999999</v>
      </c>
      <c r="K1105" s="323">
        <f t="shared" si="279"/>
        <v>1.748</v>
      </c>
      <c r="L1105" s="204">
        <f t="shared" si="280"/>
        <v>16.2124536</v>
      </c>
      <c r="M1105" s="204">
        <f t="shared" si="281"/>
        <v>17.430044800000001</v>
      </c>
      <c r="N1105" s="204">
        <f t="shared" si="282"/>
        <v>21.780080000000002</v>
      </c>
    </row>
    <row r="1106" spans="1:15" x14ac:dyDescent="0.25">
      <c r="A1106" s="271">
        <v>25</v>
      </c>
      <c r="B1106" s="272">
        <f t="shared" si="272"/>
        <v>61.835294117647052</v>
      </c>
      <c r="C1106" s="273">
        <f t="shared" si="273"/>
        <v>61.835294117647052</v>
      </c>
      <c r="D1106" s="273">
        <f t="shared" si="283"/>
        <v>61.835294117647052</v>
      </c>
      <c r="E1106" s="273">
        <f t="shared" si="284"/>
        <v>61.835294117647052</v>
      </c>
      <c r="F1106" s="266">
        <f t="shared" si="274"/>
        <v>6</v>
      </c>
      <c r="G1106" s="266">
        <f t="shared" si="275"/>
        <v>2</v>
      </c>
      <c r="H1106" s="266">
        <f t="shared" si="276"/>
        <v>2</v>
      </c>
      <c r="I1106" s="312">
        <f t="shared" si="277"/>
        <v>1.3011599999999999</v>
      </c>
      <c r="J1106" s="312">
        <f t="shared" si="278"/>
        <v>1.3988799999999999</v>
      </c>
      <c r="K1106" s="323">
        <f t="shared" si="279"/>
        <v>1.748</v>
      </c>
      <c r="L1106" s="204">
        <f t="shared" si="280"/>
        <v>16.2124536</v>
      </c>
      <c r="M1106" s="204">
        <f t="shared" si="281"/>
        <v>17.430044800000001</v>
      </c>
      <c r="N1106" s="204">
        <f t="shared" si="282"/>
        <v>21.780080000000002</v>
      </c>
    </row>
    <row r="1107" spans="1:15" x14ac:dyDescent="0.25">
      <c r="A1107" s="271">
        <v>26</v>
      </c>
      <c r="B1107" s="272">
        <f t="shared" si="272"/>
        <v>61.835294117647052</v>
      </c>
      <c r="C1107" s="273">
        <f t="shared" si="273"/>
        <v>61.835294117647052</v>
      </c>
      <c r="D1107" s="273">
        <f t="shared" si="283"/>
        <v>61.835294117647052</v>
      </c>
      <c r="E1107" s="273">
        <f t="shared" si="284"/>
        <v>61.835294117647052</v>
      </c>
      <c r="F1107" s="266">
        <f t="shared" si="274"/>
        <v>6</v>
      </c>
      <c r="G1107" s="266">
        <f t="shared" si="275"/>
        <v>2</v>
      </c>
      <c r="H1107" s="266">
        <f t="shared" si="276"/>
        <v>2</v>
      </c>
      <c r="I1107" s="312">
        <f t="shared" si="277"/>
        <v>1.3011599999999999</v>
      </c>
      <c r="J1107" s="312">
        <f t="shared" si="278"/>
        <v>1.3988799999999999</v>
      </c>
      <c r="K1107" s="323">
        <f t="shared" si="279"/>
        <v>1.748</v>
      </c>
      <c r="L1107" s="204">
        <f t="shared" si="280"/>
        <v>16.2124536</v>
      </c>
      <c r="M1107" s="204">
        <f t="shared" si="281"/>
        <v>17.430044800000001</v>
      </c>
      <c r="N1107" s="204">
        <f t="shared" si="282"/>
        <v>21.780080000000002</v>
      </c>
    </row>
    <row r="1108" spans="1:15" x14ac:dyDescent="0.25">
      <c r="A1108" s="271">
        <v>27</v>
      </c>
      <c r="B1108" s="272">
        <f t="shared" si="272"/>
        <v>61.835294117647052</v>
      </c>
      <c r="C1108" s="273">
        <f t="shared" si="273"/>
        <v>61.835294117647052</v>
      </c>
      <c r="D1108" s="273">
        <f t="shared" si="283"/>
        <v>61.835294117647052</v>
      </c>
      <c r="E1108" s="273">
        <f t="shared" si="284"/>
        <v>61.835294117647052</v>
      </c>
      <c r="F1108" s="266">
        <f t="shared" si="274"/>
        <v>6</v>
      </c>
      <c r="G1108" s="266">
        <f t="shared" si="275"/>
        <v>2</v>
      </c>
      <c r="H1108" s="266">
        <f t="shared" si="276"/>
        <v>2</v>
      </c>
      <c r="I1108" s="312">
        <f t="shared" si="277"/>
        <v>1.3011599999999999</v>
      </c>
      <c r="J1108" s="312">
        <f t="shared" si="278"/>
        <v>1.3988799999999999</v>
      </c>
      <c r="K1108" s="323">
        <f t="shared" si="279"/>
        <v>1.748</v>
      </c>
      <c r="L1108" s="204">
        <f t="shared" si="280"/>
        <v>16.2124536</v>
      </c>
      <c r="M1108" s="204">
        <f t="shared" si="281"/>
        <v>17.430044800000001</v>
      </c>
      <c r="N1108" s="204">
        <f t="shared" si="282"/>
        <v>21.780080000000002</v>
      </c>
    </row>
    <row r="1109" spans="1:15" x14ac:dyDescent="0.25">
      <c r="A1109" s="271">
        <v>28</v>
      </c>
      <c r="B1109" s="272">
        <f t="shared" si="272"/>
        <v>61.835294117647052</v>
      </c>
      <c r="C1109" s="273">
        <f t="shared" si="273"/>
        <v>61.835294117647052</v>
      </c>
      <c r="D1109" s="273">
        <f t="shared" si="283"/>
        <v>61.835294117647052</v>
      </c>
      <c r="E1109" s="273">
        <f t="shared" si="284"/>
        <v>61.835294117647052</v>
      </c>
      <c r="F1109" s="266">
        <f t="shared" si="274"/>
        <v>6</v>
      </c>
      <c r="G1109" s="266">
        <f t="shared" si="275"/>
        <v>2</v>
      </c>
      <c r="H1109" s="266">
        <f t="shared" si="276"/>
        <v>2</v>
      </c>
      <c r="I1109" s="312">
        <f>0.00006*(F1109)^3+0.0002*(F1109)^2+0.043*(F1109)+1.023</f>
        <v>1.3011599999999999</v>
      </c>
      <c r="J1109" s="312">
        <f t="shared" si="278"/>
        <v>1.3988799999999999</v>
      </c>
      <c r="K1109" s="323">
        <f t="shared" si="279"/>
        <v>1.748</v>
      </c>
      <c r="L1109" s="204">
        <f t="shared" si="280"/>
        <v>16.2124536</v>
      </c>
      <c r="M1109" s="204">
        <f t="shared" si="281"/>
        <v>17.430044800000001</v>
      </c>
      <c r="N1109" s="204">
        <f t="shared" si="282"/>
        <v>21.780080000000002</v>
      </c>
    </row>
    <row r="1110" spans="1:15" x14ac:dyDescent="0.25">
      <c r="A1110" s="271">
        <v>29</v>
      </c>
      <c r="B1110" s="272">
        <f t="shared" si="272"/>
        <v>61.835294117647052</v>
      </c>
      <c r="C1110" s="273">
        <f t="shared" si="273"/>
        <v>61.835294117647052</v>
      </c>
      <c r="D1110" s="273">
        <f t="shared" si="283"/>
        <v>61.835294117647052</v>
      </c>
      <c r="E1110" s="273">
        <f t="shared" si="284"/>
        <v>61.835294117647052</v>
      </c>
      <c r="F1110" s="266">
        <f t="shared" si="274"/>
        <v>6</v>
      </c>
      <c r="G1110" s="266">
        <f t="shared" si="275"/>
        <v>2</v>
      </c>
      <c r="H1110" s="266">
        <f t="shared" si="276"/>
        <v>2</v>
      </c>
      <c r="I1110" s="312">
        <f t="shared" si="277"/>
        <v>1.3011599999999999</v>
      </c>
      <c r="J1110" s="312">
        <f t="shared" si="278"/>
        <v>1.3988799999999999</v>
      </c>
      <c r="K1110" s="323">
        <f t="shared" si="279"/>
        <v>1.748</v>
      </c>
      <c r="L1110" s="204">
        <f t="shared" si="280"/>
        <v>16.2124536</v>
      </c>
      <c r="M1110" s="204">
        <f t="shared" si="281"/>
        <v>17.430044800000001</v>
      </c>
      <c r="N1110" s="204">
        <f t="shared" si="282"/>
        <v>21.780080000000002</v>
      </c>
    </row>
    <row r="1111" spans="1:15" x14ac:dyDescent="0.25">
      <c r="A1111" s="271">
        <v>30</v>
      </c>
      <c r="B1111" s="272">
        <f t="shared" si="272"/>
        <v>61.835294117647052</v>
      </c>
      <c r="C1111" s="273">
        <f t="shared" si="273"/>
        <v>61.835294117647052</v>
      </c>
      <c r="D1111" s="273">
        <f t="shared" si="283"/>
        <v>61.835294117647052</v>
      </c>
      <c r="E1111" s="273">
        <f t="shared" si="284"/>
        <v>61.835294117647052</v>
      </c>
      <c r="F1111" s="266">
        <f t="shared" si="274"/>
        <v>6</v>
      </c>
      <c r="G1111" s="266">
        <f t="shared" si="275"/>
        <v>2</v>
      </c>
      <c r="H1111" s="266">
        <f t="shared" si="276"/>
        <v>2</v>
      </c>
      <c r="I1111" s="312">
        <f t="shared" si="277"/>
        <v>1.3011599999999999</v>
      </c>
      <c r="J1111" s="312">
        <f t="shared" si="278"/>
        <v>1.3988799999999999</v>
      </c>
      <c r="K1111" s="323">
        <f t="shared" si="279"/>
        <v>1.748</v>
      </c>
      <c r="L1111" s="204">
        <f t="shared" si="280"/>
        <v>16.2124536</v>
      </c>
      <c r="M1111" s="204">
        <f t="shared" si="281"/>
        <v>17.430044800000001</v>
      </c>
      <c r="N1111" s="204">
        <f t="shared" si="282"/>
        <v>21.780080000000002</v>
      </c>
    </row>
    <row r="1112" spans="1:15" x14ac:dyDescent="0.25">
      <c r="A1112" s="271">
        <v>31</v>
      </c>
      <c r="B1112" s="272">
        <f t="shared" si="272"/>
        <v>61.835294117647052</v>
      </c>
      <c r="C1112" s="273">
        <f t="shared" si="273"/>
        <v>61.835294117647052</v>
      </c>
      <c r="D1112" s="273">
        <f>C1112</f>
        <v>61.835294117647052</v>
      </c>
      <c r="E1112" s="273">
        <f>D1112</f>
        <v>61.835294117647052</v>
      </c>
      <c r="F1112" s="266">
        <f t="shared" si="274"/>
        <v>6</v>
      </c>
      <c r="G1112" s="266">
        <f t="shared" si="275"/>
        <v>2</v>
      </c>
      <c r="H1112" s="266">
        <f t="shared" si="276"/>
        <v>2</v>
      </c>
      <c r="I1112" s="312">
        <f>0.00006*(F1112)^3+0.0002*(F1112)^2+0.043*(F1112)+1.023</f>
        <v>1.3011599999999999</v>
      </c>
      <c r="J1112" s="312">
        <f>0.00006*(G1112)^3-0.00015*(G1112)^2+0.048*(G1112)+1.303</f>
        <v>1.3988799999999999</v>
      </c>
      <c r="K1112" s="323">
        <f>0.054*(H1112)+1.64</f>
        <v>1.748</v>
      </c>
      <c r="L1112" s="204">
        <f t="shared" ref="L1112:N1113" si="285">$B$1040*I1112</f>
        <v>16.2124536</v>
      </c>
      <c r="M1112" s="204">
        <f t="shared" si="285"/>
        <v>17.430044800000001</v>
      </c>
      <c r="N1112" s="204">
        <f t="shared" si="285"/>
        <v>21.780080000000002</v>
      </c>
    </row>
    <row r="1113" spans="1:15" x14ac:dyDescent="0.25">
      <c r="A1113" s="271">
        <v>32</v>
      </c>
      <c r="B1113" s="272">
        <f t="shared" si="272"/>
        <v>61.835294117647052</v>
      </c>
      <c r="C1113" s="273">
        <f t="shared" si="273"/>
        <v>61.835294117647052</v>
      </c>
      <c r="D1113" s="273">
        <f>C1113</f>
        <v>61.835294117647052</v>
      </c>
      <c r="E1113" s="273">
        <f>D1113</f>
        <v>61.835294117647052</v>
      </c>
      <c r="F1113" s="266">
        <f t="shared" si="274"/>
        <v>6</v>
      </c>
      <c r="G1113" s="266">
        <f t="shared" si="275"/>
        <v>2</v>
      </c>
      <c r="H1113" s="266">
        <f t="shared" si="276"/>
        <v>2</v>
      </c>
      <c r="I1113" s="312">
        <f>0.00006*(F1113)^3+0.0002*(F1113)^2+0.043*(F1113)+1.023</f>
        <v>1.3011599999999999</v>
      </c>
      <c r="J1113" s="312">
        <f>0.00006*(G1113)^3-0.00015*(G1113)^2+0.048*(G1113)+1.303</f>
        <v>1.3988799999999999</v>
      </c>
      <c r="K1113" s="323">
        <f>0.054*(H1113)+1.64</f>
        <v>1.748</v>
      </c>
      <c r="L1113" s="204">
        <f t="shared" si="285"/>
        <v>16.2124536</v>
      </c>
      <c r="M1113" s="204">
        <f t="shared" si="285"/>
        <v>17.430044800000001</v>
      </c>
      <c r="N1113" s="204">
        <f t="shared" si="285"/>
        <v>21.780080000000002</v>
      </c>
    </row>
    <row r="1114" spans="1:15" x14ac:dyDescent="0.25">
      <c r="A1114" s="239" t="s">
        <v>284</v>
      </c>
      <c r="B1114" s="239"/>
      <c r="C1114" s="239"/>
      <c r="D1114" s="239"/>
      <c r="E1114" s="239"/>
      <c r="F1114" s="239"/>
      <c r="G1114" s="19"/>
      <c r="I1114" s="239" t="s">
        <v>285</v>
      </c>
      <c r="J1114" s="239"/>
      <c r="K1114" s="239"/>
      <c r="L1114" s="239"/>
      <c r="M1114" s="239"/>
      <c r="N1114" s="239"/>
      <c r="O1114" s="19"/>
    </row>
    <row r="1115" spans="1:15" x14ac:dyDescent="0.25">
      <c r="A1115" t="s">
        <v>243</v>
      </c>
      <c r="F1115" s="239" t="s">
        <v>247</v>
      </c>
      <c r="G1115" s="239">
        <f>'DATOS DE ENTRADA'!$C$7</f>
        <v>70</v>
      </c>
      <c r="I1115" t="s">
        <v>243</v>
      </c>
      <c r="N1115" s="239" t="s">
        <v>247</v>
      </c>
      <c r="O1115" s="239">
        <f>'DATOS DE ENTRADA'!$C$23</f>
        <v>70</v>
      </c>
    </row>
    <row r="1116" spans="1:15" x14ac:dyDescent="0.25">
      <c r="C1116" s="569" t="s">
        <v>246</v>
      </c>
      <c r="D1116" s="569"/>
      <c r="E1116" s="569"/>
      <c r="K1116" s="569" t="s">
        <v>246</v>
      </c>
      <c r="L1116" s="569"/>
      <c r="M1116" s="569"/>
    </row>
    <row r="1117" spans="1:15" x14ac:dyDescent="0.25">
      <c r="A1117" s="43" t="s">
        <v>18</v>
      </c>
      <c r="B1117" s="43" t="s">
        <v>286</v>
      </c>
      <c r="C1117" s="298" t="s">
        <v>233</v>
      </c>
      <c r="D1117" s="298" t="s">
        <v>234</v>
      </c>
      <c r="E1117" s="298" t="s">
        <v>235</v>
      </c>
      <c r="I1117" s="43" t="s">
        <v>18</v>
      </c>
      <c r="J1117" s="43" t="s">
        <v>286</v>
      </c>
      <c r="K1117" s="298" t="s">
        <v>233</v>
      </c>
      <c r="L1117" s="298" t="s">
        <v>234</v>
      </c>
      <c r="M1117" s="298" t="s">
        <v>235</v>
      </c>
    </row>
    <row r="1118" spans="1:15" x14ac:dyDescent="0.25">
      <c r="A1118" s="43">
        <v>0</v>
      </c>
      <c r="B1118" s="200">
        <f>'N CARRILES HCM'!G3</f>
        <v>92.25</v>
      </c>
      <c r="C1118" s="95">
        <f t="shared" ref="C1118:C1150" si="286">B1118*L1005*$G$625*365</f>
        <v>32606774.375490002</v>
      </c>
      <c r="D1118" s="95">
        <f t="shared" ref="D1118:D1150" si="287">B1118*M1005*$G$625*365</f>
        <v>41082397.718039997</v>
      </c>
      <c r="E1118" s="95">
        <f t="shared" ref="E1118:E1150" si="288">B1118*N1005*$G$625*365</f>
        <v>51335376.309</v>
      </c>
      <c r="I1118" s="43">
        <v>0</v>
      </c>
      <c r="J1118" s="200">
        <f>'N CARRILES HCM'!G40</f>
        <v>92.25</v>
      </c>
      <c r="K1118" s="95">
        <f t="shared" ref="K1118:K1150" si="289">J1118*L1043*365*$O$381</f>
        <v>32606774.375490002</v>
      </c>
      <c r="L1118" s="95">
        <f t="shared" ref="L1118:L1150" si="290">J1118*M1043*365*$O$381</f>
        <v>41082397.718039997</v>
      </c>
      <c r="M1118" s="95">
        <f t="shared" ref="M1118:M1150" si="291">J1118*N1043*365*$O$381</f>
        <v>51335376.309</v>
      </c>
    </row>
    <row r="1119" spans="1:15" x14ac:dyDescent="0.25">
      <c r="A1119" s="43">
        <v>1</v>
      </c>
      <c r="B1119" s="200">
        <f>'N CARRILES HCM'!G4</f>
        <v>95.017499999999998</v>
      </c>
      <c r="C1119" s="95">
        <f t="shared" si="286"/>
        <v>33584977.606754698</v>
      </c>
      <c r="D1119" s="95">
        <f t="shared" si="287"/>
        <v>42314869.649581201</v>
      </c>
      <c r="E1119" s="95">
        <f t="shared" si="288"/>
        <v>52875437.598270006</v>
      </c>
      <c r="I1119" s="43">
        <v>1</v>
      </c>
      <c r="J1119" s="200">
        <f>'N CARRILES HCM'!G41</f>
        <v>95.017499999999998</v>
      </c>
      <c r="K1119" s="95">
        <f t="shared" si="289"/>
        <v>33584977.606754698</v>
      </c>
      <c r="L1119" s="95">
        <f t="shared" si="290"/>
        <v>42314869.649581201</v>
      </c>
      <c r="M1119" s="95">
        <f t="shared" si="291"/>
        <v>52875437.598270006</v>
      </c>
    </row>
    <row r="1120" spans="1:15" x14ac:dyDescent="0.25">
      <c r="A1120" s="43">
        <v>2</v>
      </c>
      <c r="B1120" s="200">
        <f>'N CARRILES HCM'!G5</f>
        <v>97.868024999999989</v>
      </c>
      <c r="C1120" s="95">
        <f t="shared" si="286"/>
        <v>34592526.934957333</v>
      </c>
      <c r="D1120" s="95">
        <f t="shared" si="287"/>
        <v>43584315.739068635</v>
      </c>
      <c r="E1120" s="95">
        <f t="shared" si="288"/>
        <v>54461700.726218104</v>
      </c>
      <c r="I1120" s="43">
        <v>2</v>
      </c>
      <c r="J1120" s="200">
        <f>'N CARRILES HCM'!G42</f>
        <v>97.868024999999989</v>
      </c>
      <c r="K1120" s="95">
        <f t="shared" si="289"/>
        <v>34592526.934957333</v>
      </c>
      <c r="L1120" s="95">
        <f t="shared" si="290"/>
        <v>43584315.739068627</v>
      </c>
      <c r="M1120" s="95">
        <f t="shared" si="291"/>
        <v>54461700.726218097</v>
      </c>
    </row>
    <row r="1121" spans="1:13" x14ac:dyDescent="0.25">
      <c r="A1121" s="43">
        <v>3</v>
      </c>
      <c r="B1121" s="200">
        <f>'N CARRILES HCM'!G6</f>
        <v>100.80406575000001</v>
      </c>
      <c r="C1121" s="95">
        <f t="shared" si="286"/>
        <v>35630302.743006065</v>
      </c>
      <c r="D1121" s="95">
        <f t="shared" si="287"/>
        <v>44891845.211240701</v>
      </c>
      <c r="E1121" s="95">
        <f t="shared" si="288"/>
        <v>56095551.748004653</v>
      </c>
      <c r="I1121" s="43">
        <v>3</v>
      </c>
      <c r="J1121" s="200">
        <f>'N CARRILES HCM'!G43</f>
        <v>100.80406575000001</v>
      </c>
      <c r="K1121" s="95">
        <f t="shared" si="289"/>
        <v>35630302.743006065</v>
      </c>
      <c r="L1121" s="95">
        <f t="shared" si="290"/>
        <v>44891845.211240701</v>
      </c>
      <c r="M1121" s="95">
        <f t="shared" si="291"/>
        <v>56095551.748004645</v>
      </c>
    </row>
    <row r="1122" spans="1:13" x14ac:dyDescent="0.25">
      <c r="A1122" s="43">
        <v>4</v>
      </c>
      <c r="B1122" s="200">
        <f>'N CARRILES HCM'!G7</f>
        <v>103.82818772249999</v>
      </c>
      <c r="C1122" s="95">
        <f t="shared" si="286"/>
        <v>36699211.825296238</v>
      </c>
      <c r="D1122" s="95">
        <f t="shared" si="287"/>
        <v>46238600.567577913</v>
      </c>
      <c r="E1122" s="95">
        <f t="shared" si="288"/>
        <v>57778418.300444789</v>
      </c>
      <c r="I1122" s="43">
        <v>4</v>
      </c>
      <c r="J1122" s="200">
        <f>'N CARRILES HCM'!G44</f>
        <v>103.82818772249999</v>
      </c>
      <c r="K1122" s="95">
        <f t="shared" si="289"/>
        <v>36699211.825296238</v>
      </c>
      <c r="L1122" s="95">
        <f t="shared" si="290"/>
        <v>46238600.567577913</v>
      </c>
      <c r="M1122" s="95">
        <f t="shared" si="291"/>
        <v>57778418.300444789</v>
      </c>
    </row>
    <row r="1123" spans="1:13" x14ac:dyDescent="0.25">
      <c r="A1123" s="43">
        <v>5</v>
      </c>
      <c r="B1123" s="200">
        <f>'N CARRILES HCM'!G8</f>
        <v>106.94303335417499</v>
      </c>
      <c r="C1123" s="95">
        <f t="shared" si="286"/>
        <v>37800188.180055119</v>
      </c>
      <c r="D1123" s="95">
        <f t="shared" si="287"/>
        <v>47625758.584605247</v>
      </c>
      <c r="E1123" s="95">
        <f t="shared" si="288"/>
        <v>59511770.849458128</v>
      </c>
      <c r="I1123" s="43">
        <v>5</v>
      </c>
      <c r="J1123" s="200">
        <f>'N CARRILES HCM'!G45</f>
        <v>106.94303335417499</v>
      </c>
      <c r="K1123" s="95">
        <f t="shared" si="289"/>
        <v>37800188.180055127</v>
      </c>
      <c r="L1123" s="95">
        <f t="shared" si="290"/>
        <v>47625758.584605254</v>
      </c>
      <c r="M1123" s="95">
        <f t="shared" si="291"/>
        <v>59511770.849458128</v>
      </c>
    </row>
    <row r="1124" spans="1:13" x14ac:dyDescent="0.25">
      <c r="A1124" s="43">
        <v>6</v>
      </c>
      <c r="B1124" s="200">
        <f>'N CARRILES HCM'!G9</f>
        <v>110.15132435480024</v>
      </c>
      <c r="C1124" s="95">
        <f t="shared" si="286"/>
        <v>38934193.825456783</v>
      </c>
      <c r="D1124" s="95">
        <f t="shared" si="287"/>
        <v>49054531.342143416</v>
      </c>
      <c r="E1124" s="95">
        <f t="shared" si="288"/>
        <v>61297123.974941865</v>
      </c>
      <c r="I1124" s="43">
        <v>6</v>
      </c>
      <c r="J1124" s="200">
        <f>'N CARRILES HCM'!G46</f>
        <v>110.15132435480024</v>
      </c>
      <c r="K1124" s="95">
        <f t="shared" si="289"/>
        <v>38934193.825456783</v>
      </c>
      <c r="L1124" s="95">
        <f t="shared" si="290"/>
        <v>49054531.342143409</v>
      </c>
      <c r="M1124" s="95">
        <f t="shared" si="291"/>
        <v>61297123.974941857</v>
      </c>
    </row>
    <row r="1125" spans="1:13" x14ac:dyDescent="0.25">
      <c r="A1125" s="43">
        <v>7</v>
      </c>
      <c r="B1125" s="200">
        <f>'N CARRILES HCM'!G10</f>
        <v>113.45586408544426</v>
      </c>
      <c r="C1125" s="95">
        <f t="shared" si="286"/>
        <v>40102219.640220486</v>
      </c>
      <c r="D1125" s="95">
        <f t="shared" si="287"/>
        <v>50526167.282407716</v>
      </c>
      <c r="E1125" s="95">
        <f t="shared" si="288"/>
        <v>63136037.69419013</v>
      </c>
      <c r="I1125" s="43">
        <v>7</v>
      </c>
      <c r="J1125" s="200">
        <f>'N CARRILES HCM'!G47</f>
        <v>113.45586408544426</v>
      </c>
      <c r="K1125" s="95">
        <f t="shared" si="289"/>
        <v>40102219.640220486</v>
      </c>
      <c r="L1125" s="95">
        <f t="shared" si="290"/>
        <v>50526167.282407716</v>
      </c>
      <c r="M1125" s="95">
        <f t="shared" si="291"/>
        <v>63136037.69419013</v>
      </c>
    </row>
    <row r="1126" spans="1:13" x14ac:dyDescent="0.25">
      <c r="A1126" s="43">
        <v>8</v>
      </c>
      <c r="B1126" s="200">
        <f>'N CARRILES HCM'!G11</f>
        <v>116.85954000800757</v>
      </c>
      <c r="C1126" s="95">
        <f t="shared" si="286"/>
        <v>42984610.922654331</v>
      </c>
      <c r="D1126" s="95">
        <f t="shared" si="287"/>
        <v>52041952.300879948</v>
      </c>
      <c r="E1126" s="95">
        <f t="shared" si="288"/>
        <v>65030118.825015821</v>
      </c>
      <c r="I1126" s="43">
        <v>8</v>
      </c>
      <c r="J1126" s="200">
        <f>'N CARRILES HCM'!G48</f>
        <v>116.85954000800757</v>
      </c>
      <c r="K1126" s="95">
        <f t="shared" si="289"/>
        <v>41305286.229427092</v>
      </c>
      <c r="L1126" s="95">
        <f t="shared" si="290"/>
        <v>52041952.30087994</v>
      </c>
      <c r="M1126" s="95">
        <f t="shared" si="291"/>
        <v>65030118.825015828</v>
      </c>
    </row>
    <row r="1127" spans="1:13" x14ac:dyDescent="0.25">
      <c r="A1127" s="43">
        <v>9</v>
      </c>
      <c r="B1127" s="200">
        <f>'N CARRILES HCM'!G12</f>
        <v>120.36532620824781</v>
      </c>
      <c r="C1127" s="95">
        <f t="shared" si="286"/>
        <v>44274149.250333972</v>
      </c>
      <c r="D1127" s="95">
        <f t="shared" si="287"/>
        <v>53603210.869906344</v>
      </c>
      <c r="E1127" s="95">
        <f t="shared" si="288"/>
        <v>66981022.389766306</v>
      </c>
      <c r="I1127" s="43">
        <v>9</v>
      </c>
      <c r="J1127" s="200">
        <f>'N CARRILES HCM'!G49</f>
        <v>120.36532620824781</v>
      </c>
      <c r="K1127" s="95">
        <f t="shared" si="289"/>
        <v>42544444.816309914</v>
      </c>
      <c r="L1127" s="95">
        <f t="shared" si="290"/>
        <v>53603210.869906344</v>
      </c>
      <c r="M1127" s="95">
        <f t="shared" si="291"/>
        <v>66981022.389766313</v>
      </c>
    </row>
    <row r="1128" spans="1:13" x14ac:dyDescent="0.25">
      <c r="A1128" s="43">
        <v>10</v>
      </c>
      <c r="B1128" s="200">
        <f>'N CARRILES HCM'!G13</f>
        <v>123.97628599449523</v>
      </c>
      <c r="C1128" s="95">
        <f t="shared" si="286"/>
        <v>45602373.727843985</v>
      </c>
      <c r="D1128" s="95">
        <f t="shared" si="287"/>
        <v>55211307.196003526</v>
      </c>
      <c r="E1128" s="95">
        <f t="shared" si="288"/>
        <v>68990453.061459288</v>
      </c>
      <c r="I1128" s="43">
        <v>10</v>
      </c>
      <c r="J1128" s="200">
        <f>'N CARRILES HCM'!G50</f>
        <v>123.97628599449523</v>
      </c>
      <c r="K1128" s="95">
        <f t="shared" si="289"/>
        <v>43820778.160799205</v>
      </c>
      <c r="L1128" s="95">
        <f t="shared" si="290"/>
        <v>55211307.196003526</v>
      </c>
      <c r="M1128" s="95">
        <f t="shared" si="291"/>
        <v>68990453.061459288</v>
      </c>
    </row>
    <row r="1129" spans="1:13" x14ac:dyDescent="0.25">
      <c r="A1129" s="43">
        <v>11</v>
      </c>
      <c r="B1129" s="200">
        <f>'N CARRILES HCM'!G14</f>
        <v>127.6955745743301</v>
      </c>
      <c r="C1129" s="95">
        <f t="shared" si="286"/>
        <v>46970444.93967931</v>
      </c>
      <c r="D1129" s="95">
        <f t="shared" si="287"/>
        <v>56867646.411883637</v>
      </c>
      <c r="E1129" s="95">
        <f t="shared" si="288"/>
        <v>71060166.653303072</v>
      </c>
      <c r="I1129" s="43">
        <v>11</v>
      </c>
      <c r="J1129" s="200">
        <f>'N CARRILES HCM'!G51</f>
        <v>127.6955745743301</v>
      </c>
      <c r="K1129" s="95">
        <f t="shared" si="289"/>
        <v>45135401.505623184</v>
      </c>
      <c r="L1129" s="95">
        <f t="shared" si="290"/>
        <v>56867646.411883637</v>
      </c>
      <c r="M1129" s="95">
        <f t="shared" si="291"/>
        <v>71060166.653303072</v>
      </c>
    </row>
    <row r="1130" spans="1:13" x14ac:dyDescent="0.25">
      <c r="A1130" s="43">
        <v>12</v>
      </c>
      <c r="B1130" s="200">
        <f>'N CARRILES HCM'!G15</f>
        <v>131.52644181155998</v>
      </c>
      <c r="C1130" s="95">
        <f t="shared" si="286"/>
        <v>48379558.287869677</v>
      </c>
      <c r="D1130" s="95">
        <f t="shared" si="287"/>
        <v>58573675.80424013</v>
      </c>
      <c r="E1130" s="95">
        <f t="shared" si="288"/>
        <v>73191971.652902141</v>
      </c>
      <c r="I1130" s="43">
        <v>12</v>
      </c>
      <c r="J1130" s="200">
        <f>'N CARRILES HCM'!G52</f>
        <v>131.52644181155998</v>
      </c>
      <c r="K1130" s="95">
        <f t="shared" si="289"/>
        <v>46489463.550791875</v>
      </c>
      <c r="L1130" s="95">
        <f t="shared" si="290"/>
        <v>58573675.80424013</v>
      </c>
      <c r="M1130" s="95">
        <f t="shared" si="291"/>
        <v>73191971.652902141</v>
      </c>
    </row>
    <row r="1131" spans="1:13" x14ac:dyDescent="0.25">
      <c r="A1131" s="43">
        <v>13</v>
      </c>
      <c r="B1131" s="200">
        <f>'N CARRILES HCM'!G16</f>
        <v>135.47223506590677</v>
      </c>
      <c r="C1131" s="95">
        <f t="shared" si="286"/>
        <v>49830945.036505766</v>
      </c>
      <c r="D1131" s="95">
        <f t="shared" si="287"/>
        <v>60330886.078367338</v>
      </c>
      <c r="E1131" s="95">
        <f t="shared" si="288"/>
        <v>75387730.802489221</v>
      </c>
      <c r="I1131" s="43">
        <v>13</v>
      </c>
      <c r="J1131" s="200">
        <f>'N CARRILES HCM'!G53</f>
        <v>135.47223506590677</v>
      </c>
      <c r="K1131" s="95">
        <f t="shared" si="289"/>
        <v>47884147.457315631</v>
      </c>
      <c r="L1131" s="95">
        <f t="shared" si="290"/>
        <v>60330886.078367338</v>
      </c>
      <c r="M1131" s="95">
        <f t="shared" si="291"/>
        <v>75387730.802489221</v>
      </c>
    </row>
    <row r="1132" spans="1:13" x14ac:dyDescent="0.25">
      <c r="A1132" s="43">
        <v>14</v>
      </c>
      <c r="B1132" s="200">
        <f>'N CARRILES HCM'!G17</f>
        <v>139.53640211788399</v>
      </c>
      <c r="C1132" s="95">
        <f t="shared" si="286"/>
        <v>51325873.387600943</v>
      </c>
      <c r="D1132" s="95">
        <f t="shared" si="287"/>
        <v>62140812.660718374</v>
      </c>
      <c r="E1132" s="95">
        <f t="shared" si="288"/>
        <v>77649362.726563901</v>
      </c>
      <c r="I1132" s="43">
        <v>14</v>
      </c>
      <c r="J1132" s="200">
        <f>'N CARRILES HCM'!G54</f>
        <v>139.53640211788399</v>
      </c>
      <c r="K1132" s="95">
        <f t="shared" si="289"/>
        <v>49320671.881035104</v>
      </c>
      <c r="L1132" s="95">
        <f t="shared" si="290"/>
        <v>62140812.660718374</v>
      </c>
      <c r="M1132" s="95">
        <f t="shared" si="291"/>
        <v>77649362.726563901</v>
      </c>
    </row>
    <row r="1133" spans="1:13" x14ac:dyDescent="0.25">
      <c r="A1133" s="43">
        <v>15</v>
      </c>
      <c r="B1133" s="200">
        <f>'N CARRILES HCM'!G18</f>
        <v>143.72249418142053</v>
      </c>
      <c r="C1133" s="95">
        <f t="shared" si="286"/>
        <v>52865649.589228988</v>
      </c>
      <c r="D1133" s="95">
        <f t="shared" si="287"/>
        <v>64005037.040539935</v>
      </c>
      <c r="E1133" s="95">
        <f t="shared" si="288"/>
        <v>79978843.608360827</v>
      </c>
      <c r="I1133" s="43">
        <v>15</v>
      </c>
      <c r="J1133" s="200">
        <f>'N CARRILES HCM'!G55</f>
        <v>143.72249418142053</v>
      </c>
      <c r="K1133" s="95">
        <f t="shared" si="289"/>
        <v>50800292.037466168</v>
      </c>
      <c r="L1133" s="95">
        <f t="shared" si="290"/>
        <v>64005037.040539935</v>
      </c>
      <c r="M1133" s="95">
        <f t="shared" si="291"/>
        <v>79978843.608360827</v>
      </c>
    </row>
    <row r="1134" spans="1:13" x14ac:dyDescent="0.25">
      <c r="A1134" s="43">
        <v>16</v>
      </c>
      <c r="B1134" s="200">
        <f>'N CARRILES HCM'!G19</f>
        <v>148.0341690068631</v>
      </c>
      <c r="C1134" s="95">
        <f t="shared" si="286"/>
        <v>54451619.076905832</v>
      </c>
      <c r="D1134" s="95">
        <f t="shared" si="287"/>
        <v>65925188.151756108</v>
      </c>
      <c r="E1134" s="95">
        <f t="shared" si="288"/>
        <v>82378208.916611612</v>
      </c>
      <c r="I1134" s="43">
        <v>16</v>
      </c>
      <c r="J1134" s="200">
        <f>'N CARRILES HCM'!G56</f>
        <v>148.0341690068631</v>
      </c>
      <c r="K1134" s="95">
        <f t="shared" si="289"/>
        <v>52324300.798590131</v>
      </c>
      <c r="L1134" s="95">
        <f t="shared" si="290"/>
        <v>65925188.151756093</v>
      </c>
      <c r="M1134" s="95">
        <f t="shared" si="291"/>
        <v>82378208.916611627</v>
      </c>
    </row>
    <row r="1135" spans="1:13" x14ac:dyDescent="0.25">
      <c r="A1135" s="43">
        <v>17</v>
      </c>
      <c r="B1135" s="200">
        <f>'N CARRILES HCM'!G20</f>
        <v>152.47519407706901</v>
      </c>
      <c r="C1135" s="95">
        <f t="shared" si="286"/>
        <v>56085167.649213016</v>
      </c>
      <c r="D1135" s="95">
        <f t="shared" si="287"/>
        <v>67902943.796308786</v>
      </c>
      <c r="E1135" s="95">
        <f t="shared" si="288"/>
        <v>84849555.184109986</v>
      </c>
      <c r="I1135" s="43">
        <v>17</v>
      </c>
      <c r="J1135" s="200">
        <f>'N CARRILES HCM'!G57</f>
        <v>152.47519407706901</v>
      </c>
      <c r="K1135" s="95">
        <f t="shared" si="289"/>
        <v>53894029.822547838</v>
      </c>
      <c r="L1135" s="95">
        <f t="shared" si="290"/>
        <v>67902943.796308786</v>
      </c>
      <c r="M1135" s="95">
        <f t="shared" si="291"/>
        <v>84849555.184109986</v>
      </c>
    </row>
    <row r="1136" spans="1:13" x14ac:dyDescent="0.25">
      <c r="A1136" s="43">
        <v>18</v>
      </c>
      <c r="B1136" s="200">
        <f>'N CARRILES HCM'!G21</f>
        <v>157.04944989938107</v>
      </c>
      <c r="C1136" s="95">
        <f t="shared" si="286"/>
        <v>57767722.678689413</v>
      </c>
      <c r="D1136" s="95">
        <f t="shared" si="287"/>
        <v>69940032.110198051</v>
      </c>
      <c r="E1136" s="95">
        <f t="shared" si="288"/>
        <v>87395041.839633271</v>
      </c>
      <c r="I1136" s="43">
        <v>18</v>
      </c>
      <c r="J1136" s="200">
        <f>'N CARRILES HCM'!G58</f>
        <v>157.04944989938107</v>
      </c>
      <c r="K1136" s="95">
        <f t="shared" si="289"/>
        <v>55510850.71722427</v>
      </c>
      <c r="L1136" s="95">
        <f t="shared" si="290"/>
        <v>69940032.110198051</v>
      </c>
      <c r="M1136" s="95">
        <f t="shared" si="291"/>
        <v>87395041.839633286</v>
      </c>
    </row>
    <row r="1137" spans="1:14" x14ac:dyDescent="0.25">
      <c r="A1137" s="43">
        <v>19</v>
      </c>
      <c r="B1137" s="200">
        <f>'N CARRILES HCM'!G22</f>
        <v>161.7609333963625</v>
      </c>
      <c r="C1137" s="95">
        <f t="shared" si="286"/>
        <v>61901548.155434877</v>
      </c>
      <c r="D1137" s="95">
        <f t="shared" si="287"/>
        <v>72038233.073504001</v>
      </c>
      <c r="E1137" s="95">
        <f t="shared" si="288"/>
        <v>90016893.094822273</v>
      </c>
      <c r="I1137" s="43">
        <v>19</v>
      </c>
      <c r="J1137" s="200">
        <f>'N CARRILES HCM'!G59</f>
        <v>161.7609333963625</v>
      </c>
      <c r="K1137" s="95">
        <f t="shared" si="289"/>
        <v>57176176.238741003</v>
      </c>
      <c r="L1137" s="95">
        <f t="shared" si="290"/>
        <v>72038233.073504001</v>
      </c>
      <c r="M1137" s="95">
        <f t="shared" si="291"/>
        <v>90016893.094822273</v>
      </c>
    </row>
    <row r="1138" spans="1:14" x14ac:dyDescent="0.25">
      <c r="A1138" s="43">
        <v>20</v>
      </c>
      <c r="B1138" s="200">
        <f>'N CARRILES HCM'!G23</f>
        <v>166.61376139825336</v>
      </c>
      <c r="C1138" s="95">
        <f t="shared" si="286"/>
        <v>63758594.60009791</v>
      </c>
      <c r="D1138" s="95">
        <f t="shared" si="287"/>
        <v>74199380.065709099</v>
      </c>
      <c r="E1138" s="95">
        <f t="shared" si="288"/>
        <v>92717399.887666941</v>
      </c>
      <c r="I1138" s="43">
        <v>20</v>
      </c>
      <c r="J1138" s="200">
        <f>'N CARRILES HCM'!G60</f>
        <v>166.61376139825336</v>
      </c>
      <c r="K1138" s="95">
        <f t="shared" si="289"/>
        <v>58891461.525903217</v>
      </c>
      <c r="L1138" s="95">
        <f t="shared" si="290"/>
        <v>74199380.065709114</v>
      </c>
      <c r="M1138" s="95">
        <f t="shared" si="291"/>
        <v>92717399.887666941</v>
      </c>
    </row>
    <row r="1139" spans="1:14" x14ac:dyDescent="0.25">
      <c r="A1139" s="43">
        <v>21</v>
      </c>
      <c r="B1139" s="200">
        <f>'N CARRILES HCM'!G24</f>
        <v>171.61217424020094</v>
      </c>
      <c r="C1139" s="95">
        <f t="shared" si="286"/>
        <v>65671352.438100837</v>
      </c>
      <c r="D1139" s="95">
        <f t="shared" si="287"/>
        <v>76425361.46768038</v>
      </c>
      <c r="E1139" s="95">
        <f t="shared" si="288"/>
        <v>95498921.884296939</v>
      </c>
      <c r="I1139" s="43">
        <v>21</v>
      </c>
      <c r="J1139" s="200">
        <f>'N CARRILES HCM'!G61</f>
        <v>171.61217424020094</v>
      </c>
      <c r="K1139" s="95">
        <f t="shared" si="289"/>
        <v>60658205.371680319</v>
      </c>
      <c r="L1139" s="95">
        <f t="shared" si="290"/>
        <v>76425361.467680365</v>
      </c>
      <c r="M1139" s="95">
        <f t="shared" si="291"/>
        <v>95498921.884296939</v>
      </c>
    </row>
    <row r="1140" spans="1:14" x14ac:dyDescent="0.25">
      <c r="A1140" s="43">
        <v>22</v>
      </c>
      <c r="B1140" s="200">
        <f>'N CARRILES HCM'!G25</f>
        <v>176.760539467407</v>
      </c>
      <c r="C1140" s="95">
        <f t="shared" si="286"/>
        <v>67641493.011243865</v>
      </c>
      <c r="D1140" s="95">
        <f t="shared" si="287"/>
        <v>78718122.31171079</v>
      </c>
      <c r="E1140" s="95">
        <f t="shared" si="288"/>
        <v>98363889.540825859</v>
      </c>
      <c r="I1140" s="43">
        <v>22</v>
      </c>
      <c r="J1140" s="200">
        <f>'N CARRILES HCM'!G62</f>
        <v>176.760539467407</v>
      </c>
      <c r="K1140" s="95">
        <f t="shared" si="289"/>
        <v>62477951.53283073</v>
      </c>
      <c r="L1140" s="95">
        <f t="shared" si="290"/>
        <v>78718122.311710805</v>
      </c>
      <c r="M1140" s="95">
        <f t="shared" si="291"/>
        <v>98363889.540825859</v>
      </c>
    </row>
    <row r="1141" spans="1:14" x14ac:dyDescent="0.25">
      <c r="A1141" s="43">
        <v>23</v>
      </c>
      <c r="B1141" s="200">
        <f>'N CARRILES HCM'!G26</f>
        <v>182.06335565142922</v>
      </c>
      <c r="C1141" s="95">
        <f t="shared" si="286"/>
        <v>69670737.801581189</v>
      </c>
      <c r="D1141" s="95">
        <f t="shared" si="287"/>
        <v>81079665.981062129</v>
      </c>
      <c r="E1141" s="95">
        <f t="shared" si="288"/>
        <v>101314806.22705065</v>
      </c>
      <c r="I1141" s="43">
        <v>23</v>
      </c>
      <c r="J1141" s="200">
        <f>'N CARRILES HCM'!G63</f>
        <v>182.06335565142922</v>
      </c>
      <c r="K1141" s="95">
        <f t="shared" si="289"/>
        <v>64352290.078815661</v>
      </c>
      <c r="L1141" s="95">
        <f t="shared" si="290"/>
        <v>81079665.981062114</v>
      </c>
      <c r="M1141" s="95">
        <f t="shared" si="291"/>
        <v>101314806.22705065</v>
      </c>
    </row>
    <row r="1142" spans="1:14" x14ac:dyDescent="0.25">
      <c r="A1142" s="43">
        <v>24</v>
      </c>
      <c r="B1142" s="200">
        <f>'N CARRILES HCM'!G27</f>
        <v>187.52525632097206</v>
      </c>
      <c r="C1142" s="95">
        <f t="shared" si="286"/>
        <v>71760859.935628623</v>
      </c>
      <c r="D1142" s="95">
        <f t="shared" si="287"/>
        <v>83512055.960493967</v>
      </c>
      <c r="E1142" s="95">
        <f t="shared" si="288"/>
        <v>104354250.41386214</v>
      </c>
      <c r="I1142" s="43">
        <v>24</v>
      </c>
      <c r="J1142" s="200">
        <f>'N CARRILES HCM'!G64</f>
        <v>187.52525632097206</v>
      </c>
      <c r="K1142" s="95">
        <f t="shared" si="289"/>
        <v>66282858.781180121</v>
      </c>
      <c r="L1142" s="95">
        <f t="shared" si="290"/>
        <v>83512055.960493982</v>
      </c>
      <c r="M1142" s="95">
        <f t="shared" si="291"/>
        <v>104354250.41386214</v>
      </c>
    </row>
    <row r="1143" spans="1:14" x14ac:dyDescent="0.25">
      <c r="A1143" s="43">
        <v>25</v>
      </c>
      <c r="B1143" s="200">
        <f>'N CARRILES HCM'!G28</f>
        <v>193.15101401060122</v>
      </c>
      <c r="C1143" s="95">
        <f t="shared" si="286"/>
        <v>73913685.733697474</v>
      </c>
      <c r="D1143" s="95">
        <f t="shared" si="287"/>
        <v>86017417.639308795</v>
      </c>
      <c r="E1143" s="95">
        <f t="shared" si="288"/>
        <v>107484877.926278</v>
      </c>
      <c r="I1143" s="43">
        <v>25</v>
      </c>
      <c r="J1143" s="200">
        <f>'N CARRILES HCM'!G65</f>
        <v>193.15101401060122</v>
      </c>
      <c r="K1143" s="95">
        <f t="shared" si="289"/>
        <v>68271344.544615522</v>
      </c>
      <c r="L1143" s="95">
        <f t="shared" si="290"/>
        <v>86017417.63930878</v>
      </c>
      <c r="M1143" s="95">
        <f t="shared" si="291"/>
        <v>107484877.926278</v>
      </c>
    </row>
    <row r="1144" spans="1:14" x14ac:dyDescent="0.25">
      <c r="A1144" s="43">
        <v>26</v>
      </c>
      <c r="B1144" s="200">
        <f>'N CARRILES HCM'!G29</f>
        <v>198.94554443091928</v>
      </c>
      <c r="C1144" s="95">
        <f t="shared" si="286"/>
        <v>76131096.305708408</v>
      </c>
      <c r="D1144" s="95">
        <f t="shared" si="287"/>
        <v>88597940.16848807</v>
      </c>
      <c r="E1144" s="95">
        <f t="shared" si="288"/>
        <v>110709424.26406635</v>
      </c>
      <c r="I1144" s="43">
        <v>26</v>
      </c>
      <c r="J1144" s="200">
        <f>'N CARRILES HCM'!G66</f>
        <v>198.94554443091928</v>
      </c>
      <c r="K1144" s="95">
        <f t="shared" si="289"/>
        <v>70319484.880953997</v>
      </c>
      <c r="L1144" s="95">
        <f t="shared" si="290"/>
        <v>88597940.16848807</v>
      </c>
      <c r="M1144" s="95">
        <f t="shared" si="291"/>
        <v>110709424.26406635</v>
      </c>
    </row>
    <row r="1145" spans="1:14" x14ac:dyDescent="0.25">
      <c r="A1145" s="43">
        <v>27</v>
      </c>
      <c r="B1145" s="200">
        <f>'N CARRILES HCM'!G30</f>
        <v>204.91391076384684</v>
      </c>
      <c r="C1145" s="95">
        <f t="shared" si="286"/>
        <v>78415029.194879651</v>
      </c>
      <c r="D1145" s="95">
        <f t="shared" si="287"/>
        <v>91255878.373542711</v>
      </c>
      <c r="E1145" s="95">
        <f t="shared" si="288"/>
        <v>114030706.99198833</v>
      </c>
      <c r="I1145" s="43">
        <v>27</v>
      </c>
      <c r="J1145" s="200">
        <f>'N CARRILES HCM'!G67</f>
        <v>204.91391076384684</v>
      </c>
      <c r="K1145" s="95">
        <f t="shared" si="289"/>
        <v>72429069.427382603</v>
      </c>
      <c r="L1145" s="95">
        <f t="shared" si="290"/>
        <v>91255878.373542711</v>
      </c>
      <c r="M1145" s="95">
        <f t="shared" si="291"/>
        <v>114030706.99198833</v>
      </c>
    </row>
    <row r="1146" spans="1:14" x14ac:dyDescent="0.25">
      <c r="A1146" s="43">
        <v>28</v>
      </c>
      <c r="B1146" s="200">
        <f>'N CARRILES HCM'!G31</f>
        <v>211.06132808676224</v>
      </c>
      <c r="C1146" s="95">
        <f t="shared" si="286"/>
        <v>84023604.728996485</v>
      </c>
      <c r="D1146" s="95">
        <f t="shared" si="287"/>
        <v>93993554.724748984</v>
      </c>
      <c r="E1146" s="95">
        <f t="shared" si="288"/>
        <v>117451628.20174797</v>
      </c>
      <c r="I1146" s="43">
        <v>28</v>
      </c>
      <c r="J1146" s="200">
        <f>'N CARRILES HCM'!G68</f>
        <v>211.06132808676224</v>
      </c>
      <c r="K1146" s="95">
        <f t="shared" si="289"/>
        <v>74601941.510204077</v>
      </c>
      <c r="L1146" s="95">
        <f t="shared" si="290"/>
        <v>93993554.724748984</v>
      </c>
      <c r="M1146" s="95">
        <f t="shared" si="291"/>
        <v>117451628.20174797</v>
      </c>
    </row>
    <row r="1147" spans="1:14" x14ac:dyDescent="0.25">
      <c r="A1147" s="43">
        <v>29</v>
      </c>
      <c r="B1147" s="200">
        <f>'N CARRILES HCM'!G32</f>
        <v>217.39316792936509</v>
      </c>
      <c r="C1147" s="95">
        <f t="shared" si="286"/>
        <v>86544312.870866373</v>
      </c>
      <c r="D1147" s="95">
        <f t="shared" si="287"/>
        <v>96813361.366491452</v>
      </c>
      <c r="E1147" s="95">
        <f t="shared" si="288"/>
        <v>120975177.04780042</v>
      </c>
      <c r="I1147" s="43">
        <v>29</v>
      </c>
      <c r="J1147" s="200">
        <f>'N CARRILES HCM'!G69</f>
        <v>217.39316792936509</v>
      </c>
      <c r="K1147" s="95">
        <f t="shared" si="289"/>
        <v>76839999.755510211</v>
      </c>
      <c r="L1147" s="95">
        <f t="shared" si="290"/>
        <v>96813361.366491437</v>
      </c>
      <c r="M1147" s="95">
        <f t="shared" si="291"/>
        <v>120975177.04780042</v>
      </c>
    </row>
    <row r="1148" spans="1:14" x14ac:dyDescent="0.25">
      <c r="A1148" s="43">
        <v>30</v>
      </c>
      <c r="B1148" s="200">
        <f>'N CARRILES HCM'!G33</f>
        <v>223.91496296724605</v>
      </c>
      <c r="C1148" s="95">
        <f t="shared" si="286"/>
        <v>89140642.25699237</v>
      </c>
      <c r="D1148" s="95">
        <f t="shared" si="287"/>
        <v>99717762.207486182</v>
      </c>
      <c r="E1148" s="95">
        <f t="shared" si="288"/>
        <v>124604432.35923442</v>
      </c>
      <c r="I1148" s="43">
        <v>30</v>
      </c>
      <c r="J1148" s="200">
        <f>'N CARRILES HCM'!G70</f>
        <v>223.91496296724605</v>
      </c>
      <c r="K1148" s="95">
        <f t="shared" si="289"/>
        <v>79145199.748175502</v>
      </c>
      <c r="L1148" s="95">
        <f t="shared" si="290"/>
        <v>99717762.207486197</v>
      </c>
      <c r="M1148" s="95">
        <f t="shared" si="291"/>
        <v>124604432.35923444</v>
      </c>
    </row>
    <row r="1149" spans="1:14" x14ac:dyDescent="0.25">
      <c r="A1149" s="43">
        <v>31</v>
      </c>
      <c r="B1149" s="200">
        <f>'N CARRILES HCM'!G34</f>
        <v>230.63241185626347</v>
      </c>
      <c r="C1149" s="95">
        <f t="shared" si="286"/>
        <v>91814861.524702132</v>
      </c>
      <c r="D1149" s="95">
        <f t="shared" si="287"/>
        <v>102709295.07371078</v>
      </c>
      <c r="E1149" s="95">
        <f t="shared" si="288"/>
        <v>128342565.33001149</v>
      </c>
      <c r="I1149" s="43">
        <v>31</v>
      </c>
      <c r="J1149" s="200">
        <f>'N CARRILES HCM'!G71</f>
        <v>230.63241185626347</v>
      </c>
      <c r="K1149" s="95">
        <f t="shared" si="289"/>
        <v>81519555.740620792</v>
      </c>
      <c r="L1149" s="95">
        <f t="shared" si="290"/>
        <v>102709295.07371078</v>
      </c>
      <c r="M1149" s="95">
        <f t="shared" si="291"/>
        <v>128342565.33001149</v>
      </c>
    </row>
    <row r="1150" spans="1:14" x14ac:dyDescent="0.25">
      <c r="A1150" s="43">
        <v>32</v>
      </c>
      <c r="B1150" s="200">
        <f>'N CARRILES HCM'!G35</f>
        <v>237.55138421195133</v>
      </c>
      <c r="C1150" s="95">
        <f t="shared" si="286"/>
        <v>94569307.37044318</v>
      </c>
      <c r="D1150" s="95">
        <f t="shared" si="287"/>
        <v>105790573.9259221</v>
      </c>
      <c r="E1150" s="95">
        <f t="shared" si="288"/>
        <v>132192842.28991179</v>
      </c>
      <c r="I1150" s="43">
        <v>32</v>
      </c>
      <c r="J1150" s="200">
        <f>'N CARRILES HCM'!G72</f>
        <v>237.55138421195133</v>
      </c>
      <c r="K1150" s="95">
        <f t="shared" si="289"/>
        <v>83965142.412839398</v>
      </c>
      <c r="L1150" s="95">
        <f t="shared" si="290"/>
        <v>105790573.9259221</v>
      </c>
      <c r="M1150" s="95">
        <f t="shared" si="291"/>
        <v>132192842.28991181</v>
      </c>
    </row>
    <row r="1151" spans="1:14" x14ac:dyDescent="0.25">
      <c r="A1151" s="239" t="s">
        <v>284</v>
      </c>
      <c r="B1151" s="239"/>
      <c r="C1151" s="239"/>
      <c r="D1151" s="239"/>
      <c r="E1151" s="239"/>
      <c r="F1151" s="239"/>
      <c r="G1151" s="19"/>
      <c r="J1151" t="s">
        <v>287</v>
      </c>
    </row>
    <row r="1152" spans="1:14" x14ac:dyDescent="0.25">
      <c r="A1152" t="s">
        <v>243</v>
      </c>
      <c r="F1152" s="239" t="s">
        <v>247</v>
      </c>
      <c r="G1152" s="239">
        <f>$G$131</f>
        <v>70</v>
      </c>
      <c r="J1152" s="569" t="s">
        <v>246</v>
      </c>
      <c r="K1152" s="569"/>
      <c r="L1152" s="569"/>
      <c r="M1152" s="574" t="s">
        <v>250</v>
      </c>
      <c r="N1152" s="574"/>
    </row>
    <row r="1153" spans="1:14" x14ac:dyDescent="0.25">
      <c r="C1153" s="569" t="s">
        <v>246</v>
      </c>
      <c r="D1153" s="569"/>
      <c r="E1153" s="569"/>
      <c r="I1153" s="43" t="s">
        <v>18</v>
      </c>
      <c r="J1153" s="270" t="s">
        <v>126</v>
      </c>
      <c r="K1153" s="270" t="s">
        <v>90</v>
      </c>
      <c r="L1153" s="270" t="s">
        <v>127</v>
      </c>
      <c r="M1153" s="574"/>
      <c r="N1153" s="574"/>
    </row>
    <row r="1154" spans="1:14" x14ac:dyDescent="0.25">
      <c r="A1154" s="43" t="s">
        <v>18</v>
      </c>
      <c r="B1154" s="43" t="s">
        <v>286</v>
      </c>
      <c r="C1154" s="298" t="s">
        <v>233</v>
      </c>
      <c r="D1154" s="298" t="s">
        <v>234</v>
      </c>
      <c r="E1154" s="298" t="s">
        <v>235</v>
      </c>
      <c r="I1154" s="43">
        <v>0</v>
      </c>
      <c r="J1154" s="95">
        <f>IF($B$20="P",B1118,IF($B$20="L",D1118,IF($B$20="M",E1118)))</f>
        <v>92.25</v>
      </c>
      <c r="K1154" s="95">
        <f>IF($B$57="P",K1118,IF($B$57="L",L1118,IF($B$57="M",M1118)))</f>
        <v>32606774.375490002</v>
      </c>
      <c r="L1154" s="95">
        <f>IF($B$94="P",C1155,IF($B$94="L",D1155,IF($B$94="M",E1155)))</f>
        <v>73449528.689249992</v>
      </c>
      <c r="M1154" s="299">
        <f>L1154-K1154-J1154</f>
        <v>40842662.06375999</v>
      </c>
      <c r="N1154" s="70"/>
    </row>
    <row r="1155" spans="1:14" x14ac:dyDescent="0.25">
      <c r="A1155" s="43">
        <v>0</v>
      </c>
      <c r="B1155" s="200">
        <f>'N CARRILES HCM'!G77</f>
        <v>184.5</v>
      </c>
      <c r="C1155" s="95">
        <f>B1155*365*$G$418*L1081</f>
        <v>73449528.689249992</v>
      </c>
      <c r="D1155" s="95">
        <f>B1155*365*$G$418*M1081</f>
        <v>82164795.436080009</v>
      </c>
      <c r="E1155" s="95">
        <f>B1155*365*$G$418*N1081</f>
        <v>102670752.618</v>
      </c>
      <c r="I1155" s="43">
        <v>1</v>
      </c>
      <c r="J1155" s="95">
        <f t="shared" ref="J1155:J1183" si="292">IF($B$20="P",C1119,IF($B$20="L",D1119,IF($B$20="M",E1119)))</f>
        <v>33584977.606754698</v>
      </c>
      <c r="K1155" s="95">
        <f t="shared" ref="K1155:K1184" si="293">IF($B$57="P",K1119,IF($B$57="L",L1119,IF($B$57="M",M1119)))</f>
        <v>33584977.606754698</v>
      </c>
      <c r="L1155" s="95">
        <f t="shared" ref="L1155:L1184" si="294">IF($B$94="P",C1156,IF($B$94="L",D1156,IF($B$94="M",E1156)))</f>
        <v>75653014.549927503</v>
      </c>
      <c r="M1155" s="300">
        <f t="shared" ref="M1155:M1184" si="295">L1155-K1155-J1155</f>
        <v>8483059.3364181072</v>
      </c>
      <c r="N1155" s="70"/>
    </row>
    <row r="1156" spans="1:14" x14ac:dyDescent="0.25">
      <c r="A1156" s="43">
        <v>1</v>
      </c>
      <c r="B1156" s="200">
        <f>'N CARRILES HCM'!G78</f>
        <v>190.035</v>
      </c>
      <c r="C1156" s="95">
        <f t="shared" ref="C1156:C1185" si="296">B1156*365*$G$418*L1082</f>
        <v>75653014.549927503</v>
      </c>
      <c r="D1156" s="95">
        <f t="shared" ref="D1156:D1185" si="297">B1156*365*$G$418*M1082</f>
        <v>84629739.299162403</v>
      </c>
      <c r="E1156" s="95">
        <f t="shared" ref="E1156:E1185" si="298">B1156*365*$G$418*N1082</f>
        <v>105750875.19654001</v>
      </c>
      <c r="I1156" s="43">
        <v>2</v>
      </c>
      <c r="J1156" s="95">
        <f t="shared" si="292"/>
        <v>34592526.934957333</v>
      </c>
      <c r="K1156" s="95">
        <f t="shared" si="293"/>
        <v>34592526.934957333</v>
      </c>
      <c r="L1156" s="95">
        <f t="shared" si="294"/>
        <v>77922604.986425325</v>
      </c>
      <c r="M1156" s="300">
        <f t="shared" si="295"/>
        <v>8737551.1165106595</v>
      </c>
      <c r="N1156" s="70"/>
    </row>
    <row r="1157" spans="1:14" x14ac:dyDescent="0.25">
      <c r="A1157" s="43">
        <v>2</v>
      </c>
      <c r="B1157" s="200">
        <f>'N CARRILES HCM'!G79</f>
        <v>195.73604999999998</v>
      </c>
      <c r="C1157" s="95">
        <f t="shared" si="296"/>
        <v>77922604.986425325</v>
      </c>
      <c r="D1157" s="95">
        <f t="shared" si="297"/>
        <v>87168631.47813727</v>
      </c>
      <c r="E1157" s="95">
        <f t="shared" si="298"/>
        <v>108923401.45243619</v>
      </c>
      <c r="I1157" s="43">
        <v>3</v>
      </c>
      <c r="J1157" s="95">
        <f t="shared" si="292"/>
        <v>35630302.743006065</v>
      </c>
      <c r="K1157" s="95">
        <f t="shared" si="293"/>
        <v>35630302.743006065</v>
      </c>
      <c r="L1157" s="95">
        <f t="shared" si="294"/>
        <v>80260283.136018097</v>
      </c>
      <c r="M1157" s="300">
        <f t="shared" si="295"/>
        <v>8999677.6500059664</v>
      </c>
      <c r="N1157" s="70"/>
    </row>
    <row r="1158" spans="1:14" x14ac:dyDescent="0.25">
      <c r="A1158" s="43">
        <v>3</v>
      </c>
      <c r="B1158" s="200">
        <f>'N CARRILES HCM'!G80</f>
        <v>201.60813150000001</v>
      </c>
      <c r="C1158" s="95">
        <f t="shared" si="296"/>
        <v>80260283.136018097</v>
      </c>
      <c r="D1158" s="95">
        <f t="shared" si="297"/>
        <v>89783690.422481403</v>
      </c>
      <c r="E1158" s="95">
        <f t="shared" si="298"/>
        <v>112191103.49600931</v>
      </c>
      <c r="I1158" s="43">
        <v>4</v>
      </c>
      <c r="J1158" s="95">
        <f t="shared" si="292"/>
        <v>36699211.825296238</v>
      </c>
      <c r="K1158" s="95">
        <f t="shared" si="293"/>
        <v>36699211.825296238</v>
      </c>
      <c r="L1158" s="95">
        <f t="shared" si="294"/>
        <v>82668091.630098611</v>
      </c>
      <c r="M1158" s="300">
        <f t="shared" si="295"/>
        <v>9269667.979506135</v>
      </c>
      <c r="N1158" s="70"/>
    </row>
    <row r="1159" spans="1:14" x14ac:dyDescent="0.25">
      <c r="A1159" s="43">
        <v>4</v>
      </c>
      <c r="B1159" s="200">
        <f>'N CARRILES HCM'!G81</f>
        <v>207.65637544499998</v>
      </c>
      <c r="C1159" s="95">
        <f t="shared" si="296"/>
        <v>82668091.630098611</v>
      </c>
      <c r="D1159" s="95">
        <f t="shared" si="297"/>
        <v>92477201.135155827</v>
      </c>
      <c r="E1159" s="95">
        <f t="shared" si="298"/>
        <v>115556836.60088956</v>
      </c>
      <c r="I1159" s="43">
        <v>5</v>
      </c>
      <c r="J1159" s="95">
        <f t="shared" si="292"/>
        <v>37800188.180055119</v>
      </c>
      <c r="K1159" s="95">
        <f t="shared" si="293"/>
        <v>37800188.180055127</v>
      </c>
      <c r="L1159" s="95">
        <f t="shared" si="294"/>
        <v>85148134.379001573</v>
      </c>
      <c r="M1159" s="300">
        <f t="shared" si="295"/>
        <v>9547758.0188913271</v>
      </c>
      <c r="N1159" s="70"/>
    </row>
    <row r="1160" spans="1:14" x14ac:dyDescent="0.25">
      <c r="A1160" s="43">
        <v>5</v>
      </c>
      <c r="B1160" s="200">
        <f>'N CARRILES HCM'!G82</f>
        <v>213.88606670834997</v>
      </c>
      <c r="C1160" s="95">
        <f t="shared" si="296"/>
        <v>85148134.379001573</v>
      </c>
      <c r="D1160" s="95">
        <f t="shared" si="297"/>
        <v>95251517.169210508</v>
      </c>
      <c r="E1160" s="95">
        <f t="shared" si="298"/>
        <v>119023541.69891626</v>
      </c>
      <c r="I1160" s="43">
        <v>6</v>
      </c>
      <c r="J1160" s="95">
        <f t="shared" si="292"/>
        <v>38934193.825456783</v>
      </c>
      <c r="K1160" s="95">
        <f t="shared" si="293"/>
        <v>38934193.825456783</v>
      </c>
      <c r="L1160" s="95">
        <f t="shared" si="294"/>
        <v>87702578.410371616</v>
      </c>
      <c r="M1160" s="300">
        <f t="shared" si="295"/>
        <v>9834190.7594580501</v>
      </c>
      <c r="N1160" s="70"/>
    </row>
    <row r="1161" spans="1:14" x14ac:dyDescent="0.25">
      <c r="A1161" s="43">
        <v>6</v>
      </c>
      <c r="B1161" s="200">
        <f>'N CARRILES HCM'!G83</f>
        <v>220.30264870960048</v>
      </c>
      <c r="C1161" s="95">
        <f t="shared" si="296"/>
        <v>87702578.410371616</v>
      </c>
      <c r="D1161" s="95">
        <f t="shared" si="297"/>
        <v>98109062.684286818</v>
      </c>
      <c r="E1161" s="95">
        <f t="shared" si="298"/>
        <v>122594247.94988373</v>
      </c>
      <c r="I1161" s="43">
        <v>7</v>
      </c>
      <c r="J1161" s="95">
        <f t="shared" si="292"/>
        <v>40102219.640220486</v>
      </c>
      <c r="K1161" s="95">
        <f t="shared" si="293"/>
        <v>40102219.640220486</v>
      </c>
      <c r="L1161" s="95">
        <f t="shared" si="294"/>
        <v>90333655.762682766</v>
      </c>
      <c r="M1161" s="300">
        <f t="shared" si="295"/>
        <v>10129216.482241794</v>
      </c>
      <c r="N1161" s="70"/>
    </row>
    <row r="1162" spans="1:14" x14ac:dyDescent="0.25">
      <c r="A1162" s="43">
        <v>7</v>
      </c>
      <c r="B1162" s="200">
        <f>'N CARRILES HCM'!G84</f>
        <v>226.91172817088852</v>
      </c>
      <c r="C1162" s="95">
        <f t="shared" si="296"/>
        <v>90333655.762682766</v>
      </c>
      <c r="D1162" s="95">
        <f t="shared" si="297"/>
        <v>101052334.56481542</v>
      </c>
      <c r="E1162" s="95">
        <f t="shared" si="298"/>
        <v>126272075.38838024</v>
      </c>
      <c r="I1162" s="43">
        <v>8</v>
      </c>
      <c r="J1162" s="95">
        <f t="shared" si="292"/>
        <v>42984610.922654331</v>
      </c>
      <c r="K1162" s="95">
        <f t="shared" si="293"/>
        <v>41305286.229427092</v>
      </c>
      <c r="L1162" s="95">
        <f t="shared" si="294"/>
        <v>93043665.435563251</v>
      </c>
      <c r="M1162" s="300">
        <f t="shared" si="295"/>
        <v>8753768.2834818289</v>
      </c>
      <c r="N1162" s="70"/>
    </row>
    <row r="1163" spans="1:14" x14ac:dyDescent="0.25">
      <c r="A1163" s="43">
        <v>8</v>
      </c>
      <c r="B1163" s="200">
        <f>'N CARRILES HCM'!G85</f>
        <v>233.71908001601514</v>
      </c>
      <c r="C1163" s="95">
        <f t="shared" si="296"/>
        <v>93043665.435563251</v>
      </c>
      <c r="D1163" s="95">
        <f t="shared" si="297"/>
        <v>104083904.60175988</v>
      </c>
      <c r="E1163" s="95">
        <f t="shared" si="298"/>
        <v>130060237.65003166</v>
      </c>
      <c r="I1163" s="43">
        <v>9</v>
      </c>
      <c r="J1163" s="95">
        <f t="shared" si="292"/>
        <v>44274149.250333972</v>
      </c>
      <c r="K1163" s="95">
        <f t="shared" si="293"/>
        <v>42544444.816309914</v>
      </c>
      <c r="L1163" s="95">
        <f t="shared" si="294"/>
        <v>95834975.398630172</v>
      </c>
      <c r="M1163" s="300">
        <f t="shared" si="295"/>
        <v>9016381.3319862857</v>
      </c>
      <c r="N1163" s="70"/>
    </row>
    <row r="1164" spans="1:14" x14ac:dyDescent="0.25">
      <c r="A1164" s="43">
        <v>9</v>
      </c>
      <c r="B1164" s="200">
        <f>'N CARRILES HCM'!G86</f>
        <v>240.73065241649562</v>
      </c>
      <c r="C1164" s="95">
        <f t="shared" si="296"/>
        <v>95834975.398630172</v>
      </c>
      <c r="D1164" s="95">
        <f t="shared" si="297"/>
        <v>107206421.7398127</v>
      </c>
      <c r="E1164" s="95">
        <f t="shared" si="298"/>
        <v>133962044.77953263</v>
      </c>
      <c r="I1164" s="43">
        <v>10</v>
      </c>
      <c r="J1164" s="95">
        <f t="shared" si="292"/>
        <v>45602373.727843985</v>
      </c>
      <c r="K1164" s="95">
        <f t="shared" si="293"/>
        <v>43820778.160799205</v>
      </c>
      <c r="L1164" s="95">
        <f t="shared" si="294"/>
        <v>98710024.660589039</v>
      </c>
      <c r="M1164" s="300">
        <f t="shared" si="295"/>
        <v>9286872.7719458491</v>
      </c>
      <c r="N1164" s="70"/>
    </row>
    <row r="1165" spans="1:14" x14ac:dyDescent="0.25">
      <c r="A1165" s="43">
        <v>10</v>
      </c>
      <c r="B1165" s="200">
        <f>'N CARRILES HCM'!G87</f>
        <v>247.95257198899046</v>
      </c>
      <c r="C1165" s="95">
        <f t="shared" si="296"/>
        <v>98710024.660589039</v>
      </c>
      <c r="D1165" s="95">
        <f t="shared" si="297"/>
        <v>110422614.39200705</v>
      </c>
      <c r="E1165" s="95">
        <f t="shared" si="298"/>
        <v>137980906.12291858</v>
      </c>
      <c r="I1165" s="43">
        <v>11</v>
      </c>
      <c r="J1165" s="95">
        <f t="shared" si="292"/>
        <v>46970444.93967931</v>
      </c>
      <c r="K1165" s="95">
        <f t="shared" si="293"/>
        <v>45135401.505623184</v>
      </c>
      <c r="L1165" s="95">
        <f t="shared" si="294"/>
        <v>101671325.40040673</v>
      </c>
      <c r="M1165" s="300">
        <f t="shared" si="295"/>
        <v>9565478.9551042393</v>
      </c>
      <c r="N1165" s="70"/>
    </row>
    <row r="1166" spans="1:14" x14ac:dyDescent="0.25">
      <c r="A1166" s="43">
        <v>11</v>
      </c>
      <c r="B1166" s="200">
        <f>'N CARRILES HCM'!G88</f>
        <v>255.39114914866019</v>
      </c>
      <c r="C1166" s="95">
        <f t="shared" si="296"/>
        <v>101671325.40040673</v>
      </c>
      <c r="D1166" s="95">
        <f t="shared" si="297"/>
        <v>113735292.82376727</v>
      </c>
      <c r="E1166" s="95">
        <f t="shared" si="298"/>
        <v>142120333.30660614</v>
      </c>
      <c r="I1166" s="43">
        <v>12</v>
      </c>
      <c r="J1166" s="95">
        <f t="shared" si="292"/>
        <v>48379558.287869677</v>
      </c>
      <c r="K1166" s="95">
        <f t="shared" si="293"/>
        <v>46489463.550791875</v>
      </c>
      <c r="L1166" s="95">
        <f t="shared" si="294"/>
        <v>108963919.72069812</v>
      </c>
      <c r="M1166" s="300">
        <f t="shared" si="295"/>
        <v>14094897.882036567</v>
      </c>
      <c r="N1166" s="70"/>
    </row>
    <row r="1167" spans="1:14" x14ac:dyDescent="0.25">
      <c r="A1167" s="43">
        <v>12</v>
      </c>
      <c r="B1167" s="200">
        <f>'N CARRILES HCM'!G89</f>
        <v>263.05288362311995</v>
      </c>
      <c r="C1167" s="95">
        <f t="shared" si="296"/>
        <v>108963919.72069812</v>
      </c>
      <c r="D1167" s="95">
        <f t="shared" si="297"/>
        <v>117147351.60848027</v>
      </c>
      <c r="E1167" s="95">
        <f t="shared" si="298"/>
        <v>146383943.30580431</v>
      </c>
      <c r="I1167" s="43">
        <v>13</v>
      </c>
      <c r="J1167" s="95">
        <f t="shared" si="292"/>
        <v>49830945.036505766</v>
      </c>
      <c r="K1167" s="95">
        <f t="shared" si="293"/>
        <v>47884147.457315631</v>
      </c>
      <c r="L1167" s="95">
        <f t="shared" si="294"/>
        <v>112232837.31231907</v>
      </c>
      <c r="M1167" s="300">
        <f t="shared" si="295"/>
        <v>14517744.818497673</v>
      </c>
      <c r="N1167" s="70"/>
    </row>
    <row r="1168" spans="1:14" x14ac:dyDescent="0.25">
      <c r="A1168" s="43">
        <v>13</v>
      </c>
      <c r="B1168" s="200">
        <f>'N CARRILES HCM'!G90</f>
        <v>270.94447013181355</v>
      </c>
      <c r="C1168" s="95">
        <f t="shared" si="296"/>
        <v>112232837.31231907</v>
      </c>
      <c r="D1168" s="95">
        <f t="shared" si="297"/>
        <v>120661772.15673469</v>
      </c>
      <c r="E1168" s="95">
        <f t="shared" si="298"/>
        <v>150775461.60497844</v>
      </c>
      <c r="I1168" s="43">
        <v>14</v>
      </c>
      <c r="J1168" s="95">
        <f t="shared" si="292"/>
        <v>51325873.387600943</v>
      </c>
      <c r="K1168" s="95">
        <f t="shared" si="293"/>
        <v>49320671.881035104</v>
      </c>
      <c r="L1168" s="95">
        <f t="shared" si="294"/>
        <v>115599822.43168864</v>
      </c>
      <c r="M1168" s="300">
        <f t="shared" si="295"/>
        <v>14953277.163052589</v>
      </c>
      <c r="N1168" s="70"/>
    </row>
    <row r="1169" spans="1:14" x14ac:dyDescent="0.25">
      <c r="A1169" s="43">
        <v>14</v>
      </c>
      <c r="B1169" s="200">
        <f>'N CARRILES HCM'!G91</f>
        <v>279.07280423576799</v>
      </c>
      <c r="C1169" s="95">
        <f t="shared" si="296"/>
        <v>115599822.43168864</v>
      </c>
      <c r="D1169" s="95">
        <f t="shared" si="297"/>
        <v>124281625.32143672</v>
      </c>
      <c r="E1169" s="95">
        <f t="shared" si="298"/>
        <v>155298725.4531278</v>
      </c>
      <c r="I1169" s="43">
        <v>15</v>
      </c>
      <c r="J1169" s="95">
        <f t="shared" si="292"/>
        <v>52865649.589228988</v>
      </c>
      <c r="K1169" s="95">
        <f t="shared" si="293"/>
        <v>50800292.037466168</v>
      </c>
      <c r="L1169" s="95">
        <f t="shared" si="294"/>
        <v>119067817.10463932</v>
      </c>
      <c r="M1169" s="300">
        <f t="shared" si="295"/>
        <v>15401875.477944165</v>
      </c>
      <c r="N1169" s="70"/>
    </row>
    <row r="1170" spans="1:14" x14ac:dyDescent="0.25">
      <c r="A1170" s="43">
        <v>15</v>
      </c>
      <c r="B1170" s="200">
        <f>'N CARRILES HCM'!G92</f>
        <v>287.44498836284106</v>
      </c>
      <c r="C1170" s="95">
        <f t="shared" si="296"/>
        <v>119067817.10463932</v>
      </c>
      <c r="D1170" s="95">
        <f t="shared" si="297"/>
        <v>128010074.08107986</v>
      </c>
      <c r="E1170" s="95">
        <f t="shared" si="298"/>
        <v>159957687.21672165</v>
      </c>
      <c r="I1170" s="43">
        <v>16</v>
      </c>
      <c r="J1170" s="95">
        <f t="shared" si="292"/>
        <v>54451619.076905832</v>
      </c>
      <c r="K1170" s="95">
        <f t="shared" si="293"/>
        <v>52324300.798590131</v>
      </c>
      <c r="L1170" s="95">
        <f t="shared" si="294"/>
        <v>122639851.61777845</v>
      </c>
      <c r="M1170" s="300">
        <f t="shared" si="295"/>
        <v>15863931.742282495</v>
      </c>
      <c r="N1170" s="70"/>
    </row>
    <row r="1171" spans="1:14" x14ac:dyDescent="0.25">
      <c r="A1171" s="43">
        <v>16</v>
      </c>
      <c r="B1171" s="200">
        <f>'N CARRILES HCM'!G93</f>
        <v>296.06833801372619</v>
      </c>
      <c r="C1171" s="95">
        <f t="shared" si="296"/>
        <v>122639851.61777845</v>
      </c>
      <c r="D1171" s="95">
        <f t="shared" si="297"/>
        <v>131850376.3035122</v>
      </c>
      <c r="E1171" s="95">
        <f t="shared" si="298"/>
        <v>164756417.83322325</v>
      </c>
      <c r="I1171" s="43">
        <v>17</v>
      </c>
      <c r="J1171" s="95">
        <f t="shared" si="292"/>
        <v>56085167.649213016</v>
      </c>
      <c r="K1171" s="95">
        <f t="shared" si="293"/>
        <v>53894029.822547838</v>
      </c>
      <c r="L1171" s="95">
        <f t="shared" si="294"/>
        <v>126319047.16631183</v>
      </c>
      <c r="M1171" s="300">
        <f t="shared" si="295"/>
        <v>16339849.694550976</v>
      </c>
      <c r="N1171" s="70"/>
    </row>
    <row r="1172" spans="1:14" x14ac:dyDescent="0.25">
      <c r="A1172" s="43">
        <v>17</v>
      </c>
      <c r="B1172" s="200">
        <f>'N CARRILES HCM'!G94</f>
        <v>304.95038815413801</v>
      </c>
      <c r="C1172" s="95">
        <f t="shared" si="296"/>
        <v>126319047.16631183</v>
      </c>
      <c r="D1172" s="95">
        <f t="shared" si="297"/>
        <v>135805887.59261757</v>
      </c>
      <c r="E1172" s="95">
        <f t="shared" si="298"/>
        <v>169699110.36821997</v>
      </c>
      <c r="I1172" s="43">
        <v>18</v>
      </c>
      <c r="J1172" s="95">
        <f t="shared" si="292"/>
        <v>57767722.678689413</v>
      </c>
      <c r="K1172" s="95">
        <f t="shared" si="293"/>
        <v>55510850.71722427</v>
      </c>
      <c r="L1172" s="95">
        <f t="shared" si="294"/>
        <v>130108618.58130117</v>
      </c>
      <c r="M1172" s="300">
        <f t="shared" si="295"/>
        <v>16830045.185387485</v>
      </c>
      <c r="N1172" s="70"/>
    </row>
    <row r="1173" spans="1:14" x14ac:dyDescent="0.25">
      <c r="A1173" s="43">
        <v>18</v>
      </c>
      <c r="B1173" s="200">
        <f>'N CARRILES HCM'!G95</f>
        <v>314.09889979876215</v>
      </c>
      <c r="C1173" s="95">
        <f t="shared" si="296"/>
        <v>130108618.58130117</v>
      </c>
      <c r="D1173" s="95">
        <f t="shared" si="297"/>
        <v>139880064.2203961</v>
      </c>
      <c r="E1173" s="95">
        <f t="shared" si="298"/>
        <v>174790083.67926654</v>
      </c>
      <c r="I1173" s="43">
        <v>19</v>
      </c>
      <c r="J1173" s="95">
        <f t="shared" si="292"/>
        <v>61901548.155434877</v>
      </c>
      <c r="K1173" s="95">
        <f t="shared" si="293"/>
        <v>57176176.238741003</v>
      </c>
      <c r="L1173" s="95">
        <f t="shared" si="294"/>
        <v>134011877.13874021</v>
      </c>
      <c r="M1173" s="300">
        <f t="shared" si="295"/>
        <v>14934152.744564325</v>
      </c>
      <c r="N1173" s="70"/>
    </row>
    <row r="1174" spans="1:14" x14ac:dyDescent="0.25">
      <c r="A1174" s="43">
        <v>19</v>
      </c>
      <c r="B1174" s="200">
        <f>'N CARRILES HCM'!G96</f>
        <v>323.52186679272501</v>
      </c>
      <c r="C1174" s="95">
        <f t="shared" si="296"/>
        <v>134011877.13874021</v>
      </c>
      <c r="D1174" s="95">
        <f t="shared" si="297"/>
        <v>144076466.14700797</v>
      </c>
      <c r="E1174" s="95">
        <f t="shared" si="298"/>
        <v>180033786.18964455</v>
      </c>
      <c r="I1174" s="43">
        <v>20</v>
      </c>
      <c r="J1174" s="95">
        <f t="shared" si="292"/>
        <v>63758594.60009791</v>
      </c>
      <c r="K1174" s="95">
        <f t="shared" si="293"/>
        <v>58891461.525903217</v>
      </c>
      <c r="L1174" s="95">
        <f t="shared" si="294"/>
        <v>138032233.45290238</v>
      </c>
      <c r="M1174" s="300">
        <f t="shared" si="295"/>
        <v>15382177.326901242</v>
      </c>
      <c r="N1174" s="70"/>
    </row>
    <row r="1175" spans="1:14" x14ac:dyDescent="0.25">
      <c r="A1175" s="43">
        <v>20</v>
      </c>
      <c r="B1175" s="200">
        <f>'N CARRILES HCM'!G97</f>
        <v>333.22752279650672</v>
      </c>
      <c r="C1175" s="95">
        <f t="shared" si="296"/>
        <v>138032233.45290238</v>
      </c>
      <c r="D1175" s="95">
        <f t="shared" si="297"/>
        <v>148398760.1314182</v>
      </c>
      <c r="E1175" s="95">
        <f t="shared" si="298"/>
        <v>185434799.77533385</v>
      </c>
      <c r="I1175" s="43">
        <v>21</v>
      </c>
      <c r="J1175" s="95">
        <f t="shared" si="292"/>
        <v>65671352.438100837</v>
      </c>
      <c r="K1175" s="95">
        <f t="shared" si="293"/>
        <v>60658205.371680319</v>
      </c>
      <c r="L1175" s="95">
        <f t="shared" si="294"/>
        <v>142173200.45648947</v>
      </c>
      <c r="M1175" s="300">
        <f t="shared" si="295"/>
        <v>15843642.646708317</v>
      </c>
      <c r="N1175" s="70"/>
    </row>
    <row r="1176" spans="1:14" x14ac:dyDescent="0.25">
      <c r="A1176" s="43">
        <v>21</v>
      </c>
      <c r="B1176" s="200">
        <f>'N CARRILES HCM'!G98</f>
        <v>343.22434848040189</v>
      </c>
      <c r="C1176" s="95">
        <f t="shared" si="296"/>
        <v>142173200.45648947</v>
      </c>
      <c r="D1176" s="95">
        <f t="shared" si="297"/>
        <v>152850722.93536076</v>
      </c>
      <c r="E1176" s="95">
        <f t="shared" si="298"/>
        <v>190997843.76859388</v>
      </c>
      <c r="I1176" s="43">
        <v>22</v>
      </c>
      <c r="J1176" s="95">
        <f t="shared" si="292"/>
        <v>67641493.011243865</v>
      </c>
      <c r="K1176" s="95">
        <f t="shared" si="293"/>
        <v>62477951.53283073</v>
      </c>
      <c r="L1176" s="95">
        <f t="shared" si="294"/>
        <v>146438396.47018418</v>
      </c>
      <c r="M1176" s="300">
        <f t="shared" si="295"/>
        <v>16318951.926109582</v>
      </c>
      <c r="N1176" s="70"/>
    </row>
    <row r="1177" spans="1:14" x14ac:dyDescent="0.25">
      <c r="A1177" s="43">
        <v>22</v>
      </c>
      <c r="B1177" s="200">
        <f>'N CARRILES HCM'!G99</f>
        <v>353.521078934814</v>
      </c>
      <c r="C1177" s="95">
        <f t="shared" si="296"/>
        <v>146438396.47018418</v>
      </c>
      <c r="D1177" s="95">
        <f t="shared" si="297"/>
        <v>157436244.62342158</v>
      </c>
      <c r="E1177" s="95">
        <f t="shared" si="298"/>
        <v>196727779.08165172</v>
      </c>
      <c r="I1177" s="43">
        <v>23</v>
      </c>
      <c r="J1177" s="95">
        <f t="shared" si="292"/>
        <v>69670737.801581189</v>
      </c>
      <c r="K1177" s="95">
        <f t="shared" si="293"/>
        <v>64352290.078815661</v>
      </c>
      <c r="L1177" s="95">
        <f t="shared" si="294"/>
        <v>150831548.36428973</v>
      </c>
      <c r="M1177" s="300">
        <f t="shared" si="295"/>
        <v>16808520.483892873</v>
      </c>
      <c r="N1177" s="70"/>
    </row>
    <row r="1178" spans="1:14" x14ac:dyDescent="0.25">
      <c r="A1178" s="43">
        <v>23</v>
      </c>
      <c r="B1178" s="200">
        <f>'N CARRILES HCM'!G100</f>
        <v>364.12671130285844</v>
      </c>
      <c r="C1178" s="95">
        <f t="shared" si="296"/>
        <v>150831548.36428973</v>
      </c>
      <c r="D1178" s="95">
        <f t="shared" si="297"/>
        <v>162159331.96212426</v>
      </c>
      <c r="E1178" s="95">
        <f t="shared" si="298"/>
        <v>202629612.45410129</v>
      </c>
      <c r="I1178" s="43">
        <v>24</v>
      </c>
      <c r="J1178" s="95">
        <f t="shared" si="292"/>
        <v>71760859.935628623</v>
      </c>
      <c r="K1178" s="95">
        <f t="shared" si="293"/>
        <v>66282858.781180121</v>
      </c>
      <c r="L1178" s="95">
        <f t="shared" si="294"/>
        <v>155356494.81521836</v>
      </c>
      <c r="M1178" s="300">
        <f t="shared" si="295"/>
        <v>17312776.098409623</v>
      </c>
      <c r="N1178" s="70"/>
    </row>
    <row r="1179" spans="1:14" x14ac:dyDescent="0.25">
      <c r="A1179" s="43">
        <v>24</v>
      </c>
      <c r="B1179" s="200">
        <f>'N CARRILES HCM'!G101</f>
        <v>375.05051264194412</v>
      </c>
      <c r="C1179" s="95">
        <f t="shared" si="296"/>
        <v>155356494.81521836</v>
      </c>
      <c r="D1179" s="95">
        <f t="shared" si="297"/>
        <v>167024111.92098793</v>
      </c>
      <c r="E1179" s="95">
        <f t="shared" si="298"/>
        <v>208708500.82772428</v>
      </c>
      <c r="I1179" s="43">
        <v>25</v>
      </c>
      <c r="J1179" s="95">
        <f t="shared" si="292"/>
        <v>73913685.733697474</v>
      </c>
      <c r="K1179" s="95">
        <f t="shared" si="293"/>
        <v>68271344.544615522</v>
      </c>
      <c r="L1179" s="95">
        <f t="shared" si="294"/>
        <v>160017189.65967491</v>
      </c>
      <c r="M1179" s="300">
        <f t="shared" si="295"/>
        <v>17832159.381361917</v>
      </c>
      <c r="N1179" s="70"/>
    </row>
    <row r="1180" spans="1:14" x14ac:dyDescent="0.25">
      <c r="A1180" s="43">
        <v>25</v>
      </c>
      <c r="B1180" s="200">
        <f>'N CARRILES HCM'!G102</f>
        <v>386.30202802120243</v>
      </c>
      <c r="C1180" s="95">
        <f t="shared" si="296"/>
        <v>160017189.65967491</v>
      </c>
      <c r="D1180" s="95">
        <f t="shared" si="297"/>
        <v>172034835.27861759</v>
      </c>
      <c r="E1180" s="95">
        <f t="shared" si="298"/>
        <v>214969755.85255602</v>
      </c>
      <c r="I1180" s="43">
        <v>26</v>
      </c>
      <c r="J1180" s="95">
        <f t="shared" si="292"/>
        <v>76131096.305708408</v>
      </c>
      <c r="K1180" s="95">
        <f t="shared" si="293"/>
        <v>70319484.880953997</v>
      </c>
      <c r="L1180" s="95">
        <f t="shared" si="294"/>
        <v>164817705.34946516</v>
      </c>
      <c r="M1180" s="300">
        <f t="shared" si="295"/>
        <v>18367124.162802756</v>
      </c>
      <c r="N1180" s="70"/>
    </row>
    <row r="1181" spans="1:14" x14ac:dyDescent="0.25">
      <c r="A1181" s="43">
        <v>26</v>
      </c>
      <c r="B1181" s="200">
        <f>'N CARRILES HCM'!G103</f>
        <v>397.89108886183857</v>
      </c>
      <c r="C1181" s="95">
        <f t="shared" si="296"/>
        <v>164817705.34946516</v>
      </c>
      <c r="D1181" s="95">
        <f t="shared" si="297"/>
        <v>177195880.33697611</v>
      </c>
      <c r="E1181" s="95">
        <f t="shared" si="298"/>
        <v>221418848.52813271</v>
      </c>
      <c r="I1181" s="43">
        <v>27</v>
      </c>
      <c r="J1181" s="95">
        <f t="shared" si="292"/>
        <v>78415029.194879651</v>
      </c>
      <c r="K1181" s="95">
        <f t="shared" si="293"/>
        <v>72429069.427382603</v>
      </c>
      <c r="L1181" s="95">
        <f t="shared" si="294"/>
        <v>169762236.50994912</v>
      </c>
      <c r="M1181" s="300">
        <f t="shared" si="295"/>
        <v>18918137.887686864</v>
      </c>
      <c r="N1181" s="70"/>
    </row>
    <row r="1182" spans="1:14" x14ac:dyDescent="0.25">
      <c r="A1182" s="43">
        <v>27</v>
      </c>
      <c r="B1182" s="200">
        <f>'N CARRILES HCM'!G104</f>
        <v>409.82782152769369</v>
      </c>
      <c r="C1182" s="95">
        <f t="shared" si="296"/>
        <v>169762236.50994912</v>
      </c>
      <c r="D1182" s="95">
        <f t="shared" si="297"/>
        <v>182511756.74708539</v>
      </c>
      <c r="E1182" s="95">
        <f t="shared" si="298"/>
        <v>228061413.98397669</v>
      </c>
      <c r="I1182" s="43">
        <v>28</v>
      </c>
      <c r="J1182" s="95">
        <f t="shared" si="292"/>
        <v>84023604.728996485</v>
      </c>
      <c r="K1182" s="95">
        <f t="shared" si="293"/>
        <v>74601941.510204077</v>
      </c>
      <c r="L1182" s="95">
        <f t="shared" si="294"/>
        <v>174855103.60524759</v>
      </c>
      <c r="M1182" s="300">
        <f t="shared" si="295"/>
        <v>16229557.366047025</v>
      </c>
      <c r="N1182" s="70"/>
    </row>
    <row r="1183" spans="1:14" x14ac:dyDescent="0.25">
      <c r="A1183" s="43">
        <v>28</v>
      </c>
      <c r="B1183" s="200">
        <f>'N CARRILES HCM'!G105</f>
        <v>422.12265617352449</v>
      </c>
      <c r="C1183" s="95">
        <f t="shared" si="296"/>
        <v>174855103.60524759</v>
      </c>
      <c r="D1183" s="95">
        <f t="shared" si="297"/>
        <v>187987109.44949794</v>
      </c>
      <c r="E1183" s="95">
        <f t="shared" si="298"/>
        <v>234903256.40349594</v>
      </c>
      <c r="I1183" s="43">
        <v>29</v>
      </c>
      <c r="J1183" s="95">
        <f t="shared" si="292"/>
        <v>86544312.870866373</v>
      </c>
      <c r="K1183" s="95">
        <f t="shared" si="293"/>
        <v>76839999.755510211</v>
      </c>
      <c r="L1183" s="95">
        <f t="shared" si="294"/>
        <v>180100756.71340498</v>
      </c>
      <c r="M1183" s="300">
        <f t="shared" si="295"/>
        <v>16716444.087028399</v>
      </c>
      <c r="N1183" s="70"/>
    </row>
    <row r="1184" spans="1:14" x14ac:dyDescent="0.25">
      <c r="A1184" s="43">
        <v>29</v>
      </c>
      <c r="B1184" s="200">
        <f>'N CARRILES HCM'!G106</f>
        <v>434.78633585873018</v>
      </c>
      <c r="C1184" s="95">
        <f t="shared" si="296"/>
        <v>180100756.71340498</v>
      </c>
      <c r="D1184" s="95">
        <f t="shared" si="297"/>
        <v>193626722.73298287</v>
      </c>
      <c r="E1184" s="95">
        <f t="shared" si="298"/>
        <v>241950354.09560081</v>
      </c>
      <c r="I1184" s="43">
        <v>30</v>
      </c>
      <c r="J1184" s="95">
        <f>IF($B$20="P",C1148,IF($B$20="L",D1148,IF($B$20="M",E1148)))</f>
        <v>89140642.25699237</v>
      </c>
      <c r="K1184" s="95">
        <f t="shared" si="293"/>
        <v>79145199.748175502</v>
      </c>
      <c r="L1184" s="95">
        <f t="shared" si="294"/>
        <v>185503779.41480717</v>
      </c>
      <c r="M1184" s="300">
        <f t="shared" si="295"/>
        <v>17217937.409639299</v>
      </c>
      <c r="N1184" s="70"/>
    </row>
    <row r="1185" spans="1:13" x14ac:dyDescent="0.25">
      <c r="A1185" s="43">
        <v>30</v>
      </c>
      <c r="B1185" s="200">
        <f>'N CARRILES HCM'!G107</f>
        <v>447.82992593449211</v>
      </c>
      <c r="C1185" s="95">
        <f t="shared" si="296"/>
        <v>185503779.41480717</v>
      </c>
      <c r="D1185" s="95">
        <f t="shared" si="297"/>
        <v>199435524.41497239</v>
      </c>
      <c r="E1185" s="95">
        <f t="shared" si="298"/>
        <v>249208864.71846887</v>
      </c>
      <c r="I1185" s="43">
        <v>31</v>
      </c>
      <c r="J1185" s="95">
        <f>IF($B$20="P",C1149,IF($B$20="L",D1149,IF($B$20="M",E1149)))</f>
        <v>91814861.524702132</v>
      </c>
      <c r="K1185" s="95">
        <f>IF($B$57="P",K1149,IF($B$57="L",L1149,IF($B$57="M",M1149)))</f>
        <v>81519555.740620792</v>
      </c>
      <c r="L1185" s="95">
        <f>IF($B$94="P",C1186,IF($B$94="L",D1186,IF($B$94="M",E1186)))</f>
        <v>191068892.7972514</v>
      </c>
      <c r="M1185" s="300">
        <f>L1185-K1185-J1185</f>
        <v>17734475.53192848</v>
      </c>
    </row>
    <row r="1186" spans="1:13" x14ac:dyDescent="0.25">
      <c r="A1186" s="43">
        <v>31</v>
      </c>
      <c r="B1186" s="200">
        <f>'N CARRILES HCM'!G108</f>
        <v>461.26482371252695</v>
      </c>
      <c r="C1186" s="95">
        <f>B1186*365*$G$418*L1112</f>
        <v>191068892.7972514</v>
      </c>
      <c r="D1186" s="95">
        <f>B1186*365*$G$418*M1112</f>
        <v>205418590.14742157</v>
      </c>
      <c r="E1186" s="95">
        <f>B1186*365*$G$418*N1112</f>
        <v>256685130.66002297</v>
      </c>
      <c r="I1186" s="43">
        <v>32</v>
      </c>
      <c r="J1186" s="95">
        <f>IF($B$20="P",C1150,IF($B$20="L",D1150,IF($B$20="M",E1150)))</f>
        <v>94569307.37044318</v>
      </c>
      <c r="K1186" s="95">
        <f>IF($B$57="P",K1150,IF($B$57="L",L1150,IF($B$57="M",M1150)))</f>
        <v>83965142.412839398</v>
      </c>
      <c r="L1186" s="95">
        <f>IF($B$94="P",C1187,IF($B$94="L",D1187,IF($B$94="M",E1187)))</f>
        <v>196800959.58116889</v>
      </c>
      <c r="M1186" s="300">
        <f>L1186-K1186-J1186</f>
        <v>18266509.797886312</v>
      </c>
    </row>
    <row r="1187" spans="1:13" x14ac:dyDescent="0.25">
      <c r="A1187" s="43">
        <v>32</v>
      </c>
      <c r="B1187" s="200">
        <f>'N CARRILES HCM'!G109</f>
        <v>475.10276842390266</v>
      </c>
      <c r="C1187" s="95">
        <f>B1187*365*$G$418*L1113</f>
        <v>196800959.58116889</v>
      </c>
      <c r="D1187" s="95">
        <f>B1187*365*$G$418*M1113</f>
        <v>211581147.85184416</v>
      </c>
      <c r="E1187" s="95">
        <f>B1187*365*$G$418*N1113</f>
        <v>264385684.57982358</v>
      </c>
    </row>
    <row r="1190" spans="1:13" x14ac:dyDescent="0.25">
      <c r="A1190" s="239" t="s">
        <v>261</v>
      </c>
      <c r="B1190" s="239"/>
      <c r="C1190" s="239"/>
      <c r="D1190" s="239"/>
      <c r="E1190" s="239"/>
    </row>
    <row r="1191" spans="1:13" x14ac:dyDescent="0.25">
      <c r="A1191" t="s">
        <v>243</v>
      </c>
      <c r="I1191" t="s">
        <v>529</v>
      </c>
    </row>
    <row r="1192" spans="1:13" x14ac:dyDescent="0.25">
      <c r="C1192" s="569" t="s">
        <v>246</v>
      </c>
      <c r="D1192" s="569"/>
      <c r="E1192" s="569"/>
      <c r="J1192" s="30" t="s">
        <v>246</v>
      </c>
      <c r="K1192" s="30"/>
      <c r="L1192" s="570" t="s">
        <v>250</v>
      </c>
      <c r="M1192" s="571"/>
    </row>
    <row r="1193" spans="1:13" x14ac:dyDescent="0.25">
      <c r="A1193" s="43" t="s">
        <v>18</v>
      </c>
      <c r="B1193" s="43" t="s">
        <v>263</v>
      </c>
      <c r="C1193" s="298" t="s">
        <v>233</v>
      </c>
      <c r="D1193" s="298" t="s">
        <v>234</v>
      </c>
      <c r="E1193" s="298" t="s">
        <v>235</v>
      </c>
      <c r="I1193" s="43" t="s">
        <v>18</v>
      </c>
      <c r="J1193" s="270" t="s">
        <v>531</v>
      </c>
      <c r="K1193" s="270" t="s">
        <v>90</v>
      </c>
      <c r="L1193" s="572"/>
      <c r="M1193" s="573"/>
    </row>
    <row r="1194" spans="1:13" x14ac:dyDescent="0.25">
      <c r="A1194" s="43">
        <v>0</v>
      </c>
      <c r="B1194" s="69">
        <f>J1118</f>
        <v>92.25</v>
      </c>
      <c r="C1194" s="95">
        <f>B1194*365*$G$207*L1081</f>
        <v>36724764.344624996</v>
      </c>
      <c r="D1194" s="95">
        <f>B1194*365*$G$207*M1081</f>
        <v>41082397.718040004</v>
      </c>
      <c r="E1194" s="95">
        <f>B1194*365*$G$207*N1081</f>
        <v>51335376.309</v>
      </c>
      <c r="I1194" s="43">
        <v>0</v>
      </c>
      <c r="J1194" s="200">
        <f>IF($B$20="P",C1194,IF($B$20="L",D1194,IF($B$20="M",E1194)))</f>
        <v>36724764.344624996</v>
      </c>
      <c r="K1194" s="200">
        <f>K1154</f>
        <v>32606774.375490002</v>
      </c>
      <c r="L1194" s="324">
        <f>J1194-K1194</f>
        <v>4117989.9691349939</v>
      </c>
      <c r="M1194" s="70"/>
    </row>
    <row r="1195" spans="1:13" x14ac:dyDescent="0.25">
      <c r="A1195" s="43">
        <v>1</v>
      </c>
      <c r="B1195" s="69">
        <f t="shared" ref="B1195:B1226" si="299">J1119</f>
        <v>95.017499999999998</v>
      </c>
      <c r="C1195" s="95">
        <f t="shared" ref="C1195:C1226" si="300">B1195*365*$G$207*L1082</f>
        <v>37826507.274963751</v>
      </c>
      <c r="D1195" s="95">
        <f t="shared" ref="D1195:D1226" si="301">B1195*365*$G$207*M1082</f>
        <v>42314869.649581201</v>
      </c>
      <c r="E1195" s="95">
        <f t="shared" ref="E1195:E1226" si="302">B1195*365*$G$207*N1082</f>
        <v>52875437.598270006</v>
      </c>
      <c r="I1195" s="43">
        <v>1</v>
      </c>
      <c r="J1195" s="200">
        <f t="shared" ref="J1195:J1210" si="303">IF($B$20="P",C1195,IF($B$20="L",D1195,IF($B$20="M",E1195)))</f>
        <v>37826507.274963751</v>
      </c>
      <c r="K1195" s="200">
        <f t="shared" ref="K1195:K1226" si="304">K1155</f>
        <v>33584977.606754698</v>
      </c>
      <c r="L1195" s="324">
        <f t="shared" ref="L1195:L1226" si="305">J1195-K1195</f>
        <v>4241529.6682090536</v>
      </c>
      <c r="M1195" s="70"/>
    </row>
    <row r="1196" spans="1:13" x14ac:dyDescent="0.25">
      <c r="A1196" s="43">
        <v>2</v>
      </c>
      <c r="B1196" s="69">
        <f t="shared" si="299"/>
        <v>97.868024999999989</v>
      </c>
      <c r="C1196" s="95">
        <f t="shared" si="300"/>
        <v>38961302.493212663</v>
      </c>
      <c r="D1196" s="95">
        <f t="shared" si="301"/>
        <v>43584315.739068635</v>
      </c>
      <c r="E1196" s="95">
        <f t="shared" si="302"/>
        <v>54461700.726218097</v>
      </c>
      <c r="I1196" s="43">
        <v>2</v>
      </c>
      <c r="J1196" s="200">
        <f t="shared" si="303"/>
        <v>38961302.493212663</v>
      </c>
      <c r="K1196" s="200">
        <f t="shared" si="304"/>
        <v>34592526.934957333</v>
      </c>
      <c r="L1196" s="324">
        <f t="shared" si="305"/>
        <v>4368775.5582553297</v>
      </c>
      <c r="M1196" s="70"/>
    </row>
    <row r="1197" spans="1:13" x14ac:dyDescent="0.25">
      <c r="A1197" s="43">
        <v>3</v>
      </c>
      <c r="B1197" s="69">
        <f t="shared" si="299"/>
        <v>100.80406575000001</v>
      </c>
      <c r="C1197" s="95">
        <f t="shared" si="300"/>
        <v>40130141.568009049</v>
      </c>
      <c r="D1197" s="95">
        <f t="shared" si="301"/>
        <v>44891845.211240701</v>
      </c>
      <c r="E1197" s="95">
        <f t="shared" si="302"/>
        <v>56095551.748004653</v>
      </c>
      <c r="I1197" s="43">
        <v>3</v>
      </c>
      <c r="J1197" s="200">
        <f t="shared" si="303"/>
        <v>40130141.568009049</v>
      </c>
      <c r="K1197" s="200">
        <f t="shared" si="304"/>
        <v>35630302.743006065</v>
      </c>
      <c r="L1197" s="324">
        <f t="shared" si="305"/>
        <v>4499838.8250029832</v>
      </c>
      <c r="M1197" s="70"/>
    </row>
    <row r="1198" spans="1:13" x14ac:dyDescent="0.25">
      <c r="A1198" s="43">
        <v>4</v>
      </c>
      <c r="B1198" s="69">
        <f t="shared" si="299"/>
        <v>103.82818772249999</v>
      </c>
      <c r="C1198" s="95">
        <f t="shared" si="300"/>
        <v>41334045.815049306</v>
      </c>
      <c r="D1198" s="95">
        <f t="shared" si="301"/>
        <v>46238600.567577913</v>
      </c>
      <c r="E1198" s="95">
        <f t="shared" si="302"/>
        <v>57778418.300444782</v>
      </c>
      <c r="I1198" s="43">
        <v>4</v>
      </c>
      <c r="J1198" s="200">
        <f t="shared" si="303"/>
        <v>41334045.815049306</v>
      </c>
      <c r="K1198" s="200">
        <f t="shared" si="304"/>
        <v>36699211.825296238</v>
      </c>
      <c r="L1198" s="324">
        <f t="shared" si="305"/>
        <v>4634833.9897530675</v>
      </c>
      <c r="M1198" s="70"/>
    </row>
    <row r="1199" spans="1:13" x14ac:dyDescent="0.25">
      <c r="A1199" s="43">
        <v>5</v>
      </c>
      <c r="B1199" s="69">
        <f t="shared" si="299"/>
        <v>106.94303335417499</v>
      </c>
      <c r="C1199" s="95">
        <f t="shared" si="300"/>
        <v>42574067.189500786</v>
      </c>
      <c r="D1199" s="95">
        <f t="shared" si="301"/>
        <v>47625758.584605254</v>
      </c>
      <c r="E1199" s="95">
        <f t="shared" si="302"/>
        <v>59511770.849458128</v>
      </c>
      <c r="I1199" s="43">
        <v>5</v>
      </c>
      <c r="J1199" s="200">
        <f t="shared" si="303"/>
        <v>42574067.189500786</v>
      </c>
      <c r="K1199" s="200">
        <f t="shared" si="304"/>
        <v>37800188.180055127</v>
      </c>
      <c r="L1199" s="324">
        <f t="shared" si="305"/>
        <v>4773879.0094456598</v>
      </c>
      <c r="M1199" s="70"/>
    </row>
    <row r="1200" spans="1:13" x14ac:dyDescent="0.25">
      <c r="A1200" s="43">
        <v>6</v>
      </c>
      <c r="B1200" s="69">
        <f t="shared" si="299"/>
        <v>110.15132435480024</v>
      </c>
      <c r="C1200" s="95">
        <f t="shared" si="300"/>
        <v>43851289.205185808</v>
      </c>
      <c r="D1200" s="95">
        <f t="shared" si="301"/>
        <v>49054531.342143409</v>
      </c>
      <c r="E1200" s="95">
        <f t="shared" si="302"/>
        <v>61297123.974941865</v>
      </c>
      <c r="I1200" s="43">
        <v>6</v>
      </c>
      <c r="J1200" s="200">
        <f t="shared" si="303"/>
        <v>43851289.205185808</v>
      </c>
      <c r="K1200" s="200">
        <f t="shared" si="304"/>
        <v>38934193.825456783</v>
      </c>
      <c r="L1200" s="324">
        <f t="shared" si="305"/>
        <v>4917095.3797290251</v>
      </c>
      <c r="M1200" s="70"/>
    </row>
    <row r="1201" spans="1:13" x14ac:dyDescent="0.25">
      <c r="A1201" s="43">
        <v>7</v>
      </c>
      <c r="B1201" s="69">
        <f t="shared" si="299"/>
        <v>113.45586408544426</v>
      </c>
      <c r="C1201" s="95">
        <f t="shared" si="300"/>
        <v>45166827.881341383</v>
      </c>
      <c r="D1201" s="95">
        <f t="shared" si="301"/>
        <v>50526167.282407708</v>
      </c>
      <c r="E1201" s="95">
        <f t="shared" si="302"/>
        <v>63136037.694190122</v>
      </c>
      <c r="I1201" s="43">
        <v>7</v>
      </c>
      <c r="J1201" s="200">
        <f t="shared" si="303"/>
        <v>45166827.881341383</v>
      </c>
      <c r="K1201" s="200">
        <f t="shared" si="304"/>
        <v>40102219.640220486</v>
      </c>
      <c r="L1201" s="324">
        <f t="shared" si="305"/>
        <v>5064608.2411208972</v>
      </c>
      <c r="M1201" s="70"/>
    </row>
    <row r="1202" spans="1:13" x14ac:dyDescent="0.25">
      <c r="A1202" s="43">
        <v>8</v>
      </c>
      <c r="B1202" s="69">
        <f t="shared" si="299"/>
        <v>116.85954000800757</v>
      </c>
      <c r="C1202" s="95">
        <f t="shared" si="300"/>
        <v>46521832.717781626</v>
      </c>
      <c r="D1202" s="95">
        <f t="shared" si="301"/>
        <v>52041952.30087994</v>
      </c>
      <c r="E1202" s="95">
        <f t="shared" si="302"/>
        <v>65030118.825015828</v>
      </c>
      <c r="I1202" s="43">
        <v>8</v>
      </c>
      <c r="J1202" s="200">
        <f t="shared" si="303"/>
        <v>46521832.717781626</v>
      </c>
      <c r="K1202" s="200">
        <f t="shared" si="304"/>
        <v>41305286.229427092</v>
      </c>
      <c r="L1202" s="324">
        <f t="shared" si="305"/>
        <v>5216546.4883545339</v>
      </c>
      <c r="M1202" s="70"/>
    </row>
    <row r="1203" spans="1:13" x14ac:dyDescent="0.25">
      <c r="A1203" s="43">
        <v>9</v>
      </c>
      <c r="B1203" s="69">
        <f t="shared" si="299"/>
        <v>120.36532620824781</v>
      </c>
      <c r="C1203" s="95">
        <f t="shared" si="300"/>
        <v>47917487.699315086</v>
      </c>
      <c r="D1203" s="95">
        <f t="shared" si="301"/>
        <v>53603210.869906351</v>
      </c>
      <c r="E1203" s="95">
        <f t="shared" si="302"/>
        <v>66981022.389766313</v>
      </c>
      <c r="I1203" s="43">
        <v>9</v>
      </c>
      <c r="J1203" s="200">
        <f t="shared" si="303"/>
        <v>47917487.699315086</v>
      </c>
      <c r="K1203" s="200">
        <f t="shared" si="304"/>
        <v>42544444.816309914</v>
      </c>
      <c r="L1203" s="324">
        <f t="shared" si="305"/>
        <v>5373042.883005172</v>
      </c>
      <c r="M1203" s="70"/>
    </row>
    <row r="1204" spans="1:13" x14ac:dyDescent="0.25">
      <c r="A1204" s="43">
        <v>10</v>
      </c>
      <c r="B1204" s="69">
        <f t="shared" si="299"/>
        <v>123.97628599449523</v>
      </c>
      <c r="C1204" s="95">
        <f t="shared" si="300"/>
        <v>49355012.33029452</v>
      </c>
      <c r="D1204" s="95">
        <f t="shared" si="301"/>
        <v>55211307.196003526</v>
      </c>
      <c r="E1204" s="95">
        <f t="shared" si="302"/>
        <v>68990453.061459288</v>
      </c>
      <c r="I1204" s="43">
        <v>10</v>
      </c>
      <c r="J1204" s="200">
        <f t="shared" si="303"/>
        <v>49355012.33029452</v>
      </c>
      <c r="K1204" s="200">
        <f t="shared" si="304"/>
        <v>43820778.160799205</v>
      </c>
      <c r="L1204" s="324">
        <f t="shared" si="305"/>
        <v>5534234.1694953144</v>
      </c>
      <c r="M1204" s="70"/>
    </row>
    <row r="1205" spans="1:13" x14ac:dyDescent="0.25">
      <c r="A1205" s="43">
        <v>11</v>
      </c>
      <c r="B1205" s="69">
        <f t="shared" si="299"/>
        <v>127.6955745743301</v>
      </c>
      <c r="C1205" s="95">
        <f t="shared" si="300"/>
        <v>50835662.700203367</v>
      </c>
      <c r="D1205" s="95">
        <f t="shared" si="301"/>
        <v>56867646.411883637</v>
      </c>
      <c r="E1205" s="95">
        <f t="shared" si="302"/>
        <v>71060166.653303072</v>
      </c>
      <c r="I1205" s="43">
        <v>11</v>
      </c>
      <c r="J1205" s="200">
        <f t="shared" si="303"/>
        <v>50835662.700203367</v>
      </c>
      <c r="K1205" s="200">
        <f t="shared" si="304"/>
        <v>45135401.505623184</v>
      </c>
      <c r="L1205" s="324">
        <f t="shared" si="305"/>
        <v>5700261.1945801824</v>
      </c>
      <c r="M1205" s="70"/>
    </row>
    <row r="1206" spans="1:13" x14ac:dyDescent="0.25">
      <c r="A1206" s="43">
        <v>12</v>
      </c>
      <c r="B1206" s="69">
        <f t="shared" si="299"/>
        <v>131.52644181155998</v>
      </c>
      <c r="C1206" s="95">
        <f t="shared" si="300"/>
        <v>54481959.860349059</v>
      </c>
      <c r="D1206" s="95">
        <f t="shared" si="301"/>
        <v>58573675.804240137</v>
      </c>
      <c r="E1206" s="95">
        <f t="shared" si="302"/>
        <v>73191971.652902156</v>
      </c>
      <c r="I1206" s="43">
        <v>12</v>
      </c>
      <c r="J1206" s="200">
        <f t="shared" si="303"/>
        <v>54481959.860349059</v>
      </c>
      <c r="K1206" s="200">
        <f t="shared" si="304"/>
        <v>46489463.550791875</v>
      </c>
      <c r="L1206" s="324">
        <f t="shared" si="305"/>
        <v>7992496.3095571846</v>
      </c>
      <c r="M1206" s="70"/>
    </row>
    <row r="1207" spans="1:13" x14ac:dyDescent="0.25">
      <c r="A1207" s="43">
        <v>13</v>
      </c>
      <c r="B1207" s="69">
        <f t="shared" si="299"/>
        <v>135.47223506590677</v>
      </c>
      <c r="C1207" s="95">
        <f t="shared" si="300"/>
        <v>56116418.656159535</v>
      </c>
      <c r="D1207" s="95">
        <f t="shared" si="301"/>
        <v>60330886.078367345</v>
      </c>
      <c r="E1207" s="95">
        <f t="shared" si="302"/>
        <v>75387730.802489221</v>
      </c>
      <c r="I1207" s="43">
        <v>13</v>
      </c>
      <c r="J1207" s="200">
        <f t="shared" si="303"/>
        <v>56116418.656159535</v>
      </c>
      <c r="K1207" s="200">
        <f t="shared" si="304"/>
        <v>47884147.457315631</v>
      </c>
      <c r="L1207" s="324">
        <f t="shared" si="305"/>
        <v>8232271.1988439038</v>
      </c>
      <c r="M1207" s="70"/>
    </row>
    <row r="1208" spans="1:13" x14ac:dyDescent="0.25">
      <c r="A1208" s="43">
        <v>14</v>
      </c>
      <c r="B1208" s="69">
        <f t="shared" si="299"/>
        <v>139.53640211788399</v>
      </c>
      <c r="C1208" s="95">
        <f t="shared" si="300"/>
        <v>57799911.215844318</v>
      </c>
      <c r="D1208" s="95">
        <f t="shared" si="301"/>
        <v>62140812.660718359</v>
      </c>
      <c r="E1208" s="95">
        <f t="shared" si="302"/>
        <v>77649362.726563901</v>
      </c>
      <c r="I1208" s="43">
        <v>14</v>
      </c>
      <c r="J1208" s="200">
        <f t="shared" si="303"/>
        <v>57799911.215844318</v>
      </c>
      <c r="K1208" s="200">
        <f t="shared" si="304"/>
        <v>49320671.881035104</v>
      </c>
      <c r="L1208" s="324">
        <f t="shared" si="305"/>
        <v>8479239.3348092139</v>
      </c>
      <c r="M1208" s="70"/>
    </row>
    <row r="1209" spans="1:13" x14ac:dyDescent="0.25">
      <c r="A1209" s="43">
        <v>15</v>
      </c>
      <c r="B1209" s="69">
        <f t="shared" si="299"/>
        <v>143.72249418142053</v>
      </c>
      <c r="C1209" s="95">
        <f t="shared" si="300"/>
        <v>59533908.552319661</v>
      </c>
      <c r="D1209" s="95">
        <f t="shared" si="301"/>
        <v>64005037.040539928</v>
      </c>
      <c r="E1209" s="95">
        <f t="shared" si="302"/>
        <v>79978843.608360827</v>
      </c>
      <c r="I1209" s="43">
        <v>15</v>
      </c>
      <c r="J1209" s="200">
        <f t="shared" si="303"/>
        <v>59533908.552319661</v>
      </c>
      <c r="K1209" s="200">
        <f t="shared" si="304"/>
        <v>50800292.037466168</v>
      </c>
      <c r="L1209" s="324">
        <f t="shared" si="305"/>
        <v>8733616.5148534924</v>
      </c>
      <c r="M1209" s="70"/>
    </row>
    <row r="1210" spans="1:13" x14ac:dyDescent="0.25">
      <c r="A1210" s="43">
        <v>16</v>
      </c>
      <c r="B1210" s="69">
        <f t="shared" si="299"/>
        <v>148.0341690068631</v>
      </c>
      <c r="C1210" s="95">
        <f t="shared" si="300"/>
        <v>61319925.808889225</v>
      </c>
      <c r="D1210" s="95">
        <f t="shared" si="301"/>
        <v>65925188.1517561</v>
      </c>
      <c r="E1210" s="95">
        <f t="shared" si="302"/>
        <v>82378208.916611627</v>
      </c>
      <c r="I1210" s="43">
        <v>16</v>
      </c>
      <c r="J1210" s="200">
        <f t="shared" si="303"/>
        <v>61319925.808889225</v>
      </c>
      <c r="K1210" s="200">
        <f t="shared" si="304"/>
        <v>52324300.798590131</v>
      </c>
      <c r="L1210" s="324">
        <f t="shared" si="305"/>
        <v>8995625.010299094</v>
      </c>
      <c r="M1210" s="70"/>
    </row>
    <row r="1211" spans="1:13" x14ac:dyDescent="0.25">
      <c r="A1211" s="43">
        <v>17</v>
      </c>
      <c r="B1211" s="69">
        <f t="shared" si="299"/>
        <v>152.47519407706901</v>
      </c>
      <c r="C1211" s="95">
        <f t="shared" si="300"/>
        <v>63159523.583155915</v>
      </c>
      <c r="D1211" s="95">
        <f t="shared" si="301"/>
        <v>67902943.796308786</v>
      </c>
      <c r="E1211" s="95">
        <f t="shared" si="302"/>
        <v>84849555.184109986</v>
      </c>
      <c r="I1211" s="43">
        <v>17</v>
      </c>
      <c r="J1211" s="200">
        <f>IF($B$20="P",C1211,IF($B$20="L",D1211,IF($B$20="M",E1211)))</f>
        <v>63159523.583155915</v>
      </c>
      <c r="K1211" s="200">
        <f t="shared" si="304"/>
        <v>53894029.822547838</v>
      </c>
      <c r="L1211" s="324">
        <f t="shared" si="305"/>
        <v>9265493.760608077</v>
      </c>
      <c r="M1211" s="70"/>
    </row>
    <row r="1212" spans="1:13" x14ac:dyDescent="0.25">
      <c r="A1212" s="43">
        <v>18</v>
      </c>
      <c r="B1212" s="69">
        <f t="shared" si="299"/>
        <v>157.04944989938107</v>
      </c>
      <c r="C1212" s="95">
        <f t="shared" si="300"/>
        <v>65054309.290650584</v>
      </c>
      <c r="D1212" s="95">
        <f t="shared" si="301"/>
        <v>69940032.110198051</v>
      </c>
      <c r="E1212" s="95">
        <f t="shared" si="302"/>
        <v>87395041.839633271</v>
      </c>
      <c r="I1212" s="43">
        <v>18</v>
      </c>
      <c r="J1212" s="200">
        <f t="shared" ref="J1212:J1226" si="306">IF($B$20="P",C1212,IF($B$20="L",D1212,IF($B$20="M",E1212)))</f>
        <v>65054309.290650584</v>
      </c>
      <c r="K1212" s="200">
        <f t="shared" si="304"/>
        <v>55510850.71722427</v>
      </c>
      <c r="L1212" s="324">
        <f t="shared" si="305"/>
        <v>9543458.5734263137</v>
      </c>
      <c r="M1212" s="70"/>
    </row>
    <row r="1213" spans="1:13" x14ac:dyDescent="0.25">
      <c r="A1213" s="43">
        <v>19</v>
      </c>
      <c r="B1213" s="69">
        <f t="shared" si="299"/>
        <v>161.7609333963625</v>
      </c>
      <c r="C1213" s="95">
        <f t="shared" si="300"/>
        <v>67005938.569370106</v>
      </c>
      <c r="D1213" s="95">
        <f t="shared" si="301"/>
        <v>72038233.073503986</v>
      </c>
      <c r="E1213" s="95">
        <f t="shared" si="302"/>
        <v>90016893.094822273</v>
      </c>
      <c r="I1213" s="43">
        <v>19</v>
      </c>
      <c r="J1213" s="200">
        <f t="shared" si="306"/>
        <v>67005938.569370106</v>
      </c>
      <c r="K1213" s="200">
        <f t="shared" si="304"/>
        <v>57176176.238741003</v>
      </c>
      <c r="L1213" s="324">
        <f t="shared" si="305"/>
        <v>9829762.3306291029</v>
      </c>
      <c r="M1213" s="70"/>
    </row>
    <row r="1214" spans="1:13" x14ac:dyDescent="0.25">
      <c r="A1214" s="43">
        <v>20</v>
      </c>
      <c r="B1214" s="69">
        <f t="shared" si="299"/>
        <v>166.61376139825336</v>
      </c>
      <c r="C1214" s="95">
        <f t="shared" si="300"/>
        <v>69016116.726451188</v>
      </c>
      <c r="D1214" s="95">
        <f t="shared" si="301"/>
        <v>74199380.065709099</v>
      </c>
      <c r="E1214" s="95">
        <f t="shared" si="302"/>
        <v>92717399.887666926</v>
      </c>
      <c r="I1214" s="43">
        <v>20</v>
      </c>
      <c r="J1214" s="200">
        <f t="shared" si="306"/>
        <v>69016116.726451188</v>
      </c>
      <c r="K1214" s="200">
        <f t="shared" si="304"/>
        <v>58891461.525903217</v>
      </c>
      <c r="L1214" s="324">
        <f t="shared" si="305"/>
        <v>10124655.200547971</v>
      </c>
      <c r="M1214" s="70"/>
    </row>
    <row r="1215" spans="1:13" x14ac:dyDescent="0.25">
      <c r="A1215" s="43">
        <v>21</v>
      </c>
      <c r="B1215" s="69">
        <f t="shared" si="299"/>
        <v>171.61217424020094</v>
      </c>
      <c r="C1215" s="95">
        <f t="shared" si="300"/>
        <v>71086600.228244737</v>
      </c>
      <c r="D1215" s="95">
        <f t="shared" si="301"/>
        <v>76425361.46768038</v>
      </c>
      <c r="E1215" s="95">
        <f t="shared" si="302"/>
        <v>95498921.884296939</v>
      </c>
      <c r="I1215" s="43">
        <v>21</v>
      </c>
      <c r="J1215" s="200">
        <f t="shared" si="306"/>
        <v>71086600.228244737</v>
      </c>
      <c r="K1215" s="200">
        <f t="shared" si="304"/>
        <v>60658205.371680319</v>
      </c>
      <c r="L1215" s="324">
        <f t="shared" si="305"/>
        <v>10428394.856564417</v>
      </c>
      <c r="M1215" s="70"/>
    </row>
    <row r="1216" spans="1:13" x14ac:dyDescent="0.25">
      <c r="A1216" s="43">
        <v>22</v>
      </c>
      <c r="B1216" s="69">
        <f t="shared" si="299"/>
        <v>176.760539467407</v>
      </c>
      <c r="C1216" s="95">
        <f t="shared" si="300"/>
        <v>73219198.235092089</v>
      </c>
      <c r="D1216" s="95">
        <f t="shared" si="301"/>
        <v>78718122.31171079</v>
      </c>
      <c r="E1216" s="95">
        <f t="shared" si="302"/>
        <v>98363889.540825859</v>
      </c>
      <c r="I1216" s="43">
        <v>22</v>
      </c>
      <c r="J1216" s="200">
        <f t="shared" si="306"/>
        <v>73219198.235092089</v>
      </c>
      <c r="K1216" s="200">
        <f t="shared" si="304"/>
        <v>62477951.53283073</v>
      </c>
      <c r="L1216" s="324">
        <f t="shared" si="305"/>
        <v>10741246.702261358</v>
      </c>
      <c r="M1216" s="70"/>
    </row>
    <row r="1217" spans="1:15" x14ac:dyDescent="0.25">
      <c r="A1217" s="43">
        <v>23</v>
      </c>
      <c r="B1217" s="69">
        <f t="shared" si="299"/>
        <v>182.06335565142922</v>
      </c>
      <c r="C1217" s="95">
        <f t="shared" si="300"/>
        <v>75415774.182144865</v>
      </c>
      <c r="D1217" s="95">
        <f t="shared" si="301"/>
        <v>81079665.981062129</v>
      </c>
      <c r="E1217" s="95">
        <f t="shared" si="302"/>
        <v>101314806.22705065</v>
      </c>
      <c r="I1217" s="43">
        <v>23</v>
      </c>
      <c r="J1217" s="200">
        <f t="shared" si="306"/>
        <v>75415774.182144865</v>
      </c>
      <c r="K1217" s="200">
        <f t="shared" si="304"/>
        <v>64352290.078815661</v>
      </c>
      <c r="L1217" s="324">
        <f t="shared" si="305"/>
        <v>11063484.103329204</v>
      </c>
      <c r="M1217" s="70"/>
    </row>
    <row r="1218" spans="1:15" x14ac:dyDescent="0.25">
      <c r="A1218" s="43">
        <v>24</v>
      </c>
      <c r="B1218" s="69">
        <f t="shared" si="299"/>
        <v>187.52525632097206</v>
      </c>
      <c r="C1218" s="95">
        <f t="shared" si="300"/>
        <v>77678247.40760918</v>
      </c>
      <c r="D1218" s="95">
        <f t="shared" si="301"/>
        <v>83512055.960493967</v>
      </c>
      <c r="E1218" s="95">
        <f t="shared" si="302"/>
        <v>104354250.41386214</v>
      </c>
      <c r="I1218" s="43">
        <v>24</v>
      </c>
      <c r="J1218" s="200">
        <f t="shared" si="306"/>
        <v>77678247.40760918</v>
      </c>
      <c r="K1218" s="200">
        <f t="shared" si="304"/>
        <v>66282858.781180121</v>
      </c>
      <c r="L1218" s="324">
        <f t="shared" si="305"/>
        <v>11395388.626429059</v>
      </c>
      <c r="M1218" s="70"/>
    </row>
    <row r="1219" spans="1:15" x14ac:dyDescent="0.25">
      <c r="A1219" s="43">
        <v>25</v>
      </c>
      <c r="B1219" s="69">
        <f t="shared" si="299"/>
        <v>193.15101401060122</v>
      </c>
      <c r="C1219" s="95">
        <f t="shared" si="300"/>
        <v>80008594.829837456</v>
      </c>
      <c r="D1219" s="95">
        <f t="shared" si="301"/>
        <v>86017417.639308795</v>
      </c>
      <c r="E1219" s="95">
        <f t="shared" si="302"/>
        <v>107484877.92627801</v>
      </c>
      <c r="I1219" s="43">
        <v>25</v>
      </c>
      <c r="J1219" s="200">
        <f t="shared" si="306"/>
        <v>80008594.829837456</v>
      </c>
      <c r="K1219" s="200">
        <f t="shared" si="304"/>
        <v>68271344.544615522</v>
      </c>
      <c r="L1219" s="324">
        <f t="shared" si="305"/>
        <v>11737250.285221934</v>
      </c>
      <c r="M1219" s="70"/>
    </row>
    <row r="1220" spans="1:15" x14ac:dyDescent="0.25">
      <c r="A1220" s="43">
        <v>26</v>
      </c>
      <c r="B1220" s="69">
        <f t="shared" si="299"/>
        <v>198.94554443091928</v>
      </c>
      <c r="C1220" s="95">
        <f t="shared" si="300"/>
        <v>82408852.674732581</v>
      </c>
      <c r="D1220" s="95">
        <f t="shared" si="301"/>
        <v>88597940.168488055</v>
      </c>
      <c r="E1220" s="95">
        <f t="shared" si="302"/>
        <v>110709424.26406635</v>
      </c>
      <c r="I1220" s="43">
        <v>26</v>
      </c>
      <c r="J1220" s="200">
        <f t="shared" si="306"/>
        <v>82408852.674732581</v>
      </c>
      <c r="K1220" s="200">
        <f t="shared" si="304"/>
        <v>70319484.880953997</v>
      </c>
      <c r="L1220" s="324">
        <f t="shared" si="305"/>
        <v>12089367.793778583</v>
      </c>
      <c r="M1220" s="70"/>
    </row>
    <row r="1221" spans="1:15" x14ac:dyDescent="0.25">
      <c r="A1221" s="43">
        <v>27</v>
      </c>
      <c r="B1221" s="69">
        <f t="shared" si="299"/>
        <v>204.91391076384684</v>
      </c>
      <c r="C1221" s="95">
        <f t="shared" si="300"/>
        <v>84881118.254974559</v>
      </c>
      <c r="D1221" s="95">
        <f t="shared" si="301"/>
        <v>91255878.373542696</v>
      </c>
      <c r="E1221" s="95">
        <f t="shared" si="302"/>
        <v>114030706.99198835</v>
      </c>
      <c r="I1221" s="43">
        <v>27</v>
      </c>
      <c r="J1221" s="200">
        <f t="shared" si="306"/>
        <v>84881118.254974559</v>
      </c>
      <c r="K1221" s="200">
        <f t="shared" si="304"/>
        <v>72429069.427382603</v>
      </c>
      <c r="L1221" s="324">
        <f t="shared" si="305"/>
        <v>12452048.827591956</v>
      </c>
      <c r="M1221" s="70"/>
    </row>
    <row r="1222" spans="1:15" x14ac:dyDescent="0.25">
      <c r="A1222" s="43">
        <v>28</v>
      </c>
      <c r="B1222" s="69">
        <f t="shared" si="299"/>
        <v>211.06132808676224</v>
      </c>
      <c r="C1222" s="95">
        <f t="shared" si="300"/>
        <v>87427551.802623793</v>
      </c>
      <c r="D1222" s="95">
        <f t="shared" si="301"/>
        <v>93993554.724748969</v>
      </c>
      <c r="E1222" s="95">
        <f t="shared" si="302"/>
        <v>117451628.20174797</v>
      </c>
      <c r="I1222" s="43">
        <v>28</v>
      </c>
      <c r="J1222" s="200">
        <f t="shared" si="306"/>
        <v>87427551.802623793</v>
      </c>
      <c r="K1222" s="200">
        <f t="shared" si="304"/>
        <v>74601941.510204077</v>
      </c>
      <c r="L1222" s="324">
        <f t="shared" si="305"/>
        <v>12825610.292419717</v>
      </c>
      <c r="M1222" s="70"/>
    </row>
    <row r="1223" spans="1:15" x14ac:dyDescent="0.25">
      <c r="A1223" s="43">
        <v>29</v>
      </c>
      <c r="B1223" s="69">
        <f t="shared" si="299"/>
        <v>217.39316792936509</v>
      </c>
      <c r="C1223" s="95">
        <f t="shared" si="300"/>
        <v>90050378.356702492</v>
      </c>
      <c r="D1223" s="95">
        <f t="shared" si="301"/>
        <v>96813361.366491437</v>
      </c>
      <c r="E1223" s="95">
        <f t="shared" si="302"/>
        <v>120975177.04780041</v>
      </c>
      <c r="I1223" s="43">
        <v>29</v>
      </c>
      <c r="J1223" s="200">
        <f t="shared" si="306"/>
        <v>90050378.356702492</v>
      </c>
      <c r="K1223" s="200">
        <f t="shared" si="304"/>
        <v>76839999.755510211</v>
      </c>
      <c r="L1223" s="324">
        <f t="shared" si="305"/>
        <v>13210378.601192281</v>
      </c>
      <c r="M1223" s="70"/>
    </row>
    <row r="1224" spans="1:15" x14ac:dyDescent="0.25">
      <c r="A1224" s="43">
        <v>30</v>
      </c>
      <c r="B1224" s="69">
        <f t="shared" si="299"/>
        <v>223.91496296724605</v>
      </c>
      <c r="C1224" s="95">
        <f t="shared" si="300"/>
        <v>92751889.707403585</v>
      </c>
      <c r="D1224" s="95">
        <f t="shared" si="301"/>
        <v>99717762.207486197</v>
      </c>
      <c r="E1224" s="95">
        <f t="shared" si="302"/>
        <v>124604432.35923444</v>
      </c>
      <c r="I1224" s="43">
        <v>30</v>
      </c>
      <c r="J1224" s="200">
        <f t="shared" si="306"/>
        <v>92751889.707403585</v>
      </c>
      <c r="K1224" s="200">
        <f t="shared" si="304"/>
        <v>79145199.748175502</v>
      </c>
      <c r="L1224" s="324">
        <f t="shared" si="305"/>
        <v>13606689.959228083</v>
      </c>
      <c r="M1224" s="70"/>
    </row>
    <row r="1225" spans="1:15" x14ac:dyDescent="0.25">
      <c r="A1225" s="43">
        <v>31</v>
      </c>
      <c r="B1225" s="69">
        <f t="shared" si="299"/>
        <v>230.63241185626347</v>
      </c>
      <c r="C1225" s="95">
        <f t="shared" si="300"/>
        <v>95534446.398625702</v>
      </c>
      <c r="D1225" s="95">
        <f t="shared" si="301"/>
        <v>102709295.07371078</v>
      </c>
      <c r="E1225" s="95">
        <f t="shared" si="302"/>
        <v>128342565.33001149</v>
      </c>
      <c r="I1225" s="43">
        <v>31</v>
      </c>
      <c r="J1225" s="200">
        <f t="shared" si="306"/>
        <v>95534446.398625702</v>
      </c>
      <c r="K1225" s="200">
        <f t="shared" si="304"/>
        <v>81519555.740620792</v>
      </c>
      <c r="L1225" s="324">
        <f t="shared" si="305"/>
        <v>14014890.65800491</v>
      </c>
    </row>
    <row r="1226" spans="1:15" x14ac:dyDescent="0.25">
      <c r="A1226" s="43">
        <v>32</v>
      </c>
      <c r="B1226" s="69">
        <f t="shared" si="299"/>
        <v>237.55138421195133</v>
      </c>
      <c r="C1226" s="95">
        <f t="shared" si="300"/>
        <v>98400479.790584445</v>
      </c>
      <c r="D1226" s="95">
        <f t="shared" si="301"/>
        <v>105790573.92592208</v>
      </c>
      <c r="E1226" s="95">
        <f t="shared" si="302"/>
        <v>132192842.28991179</v>
      </c>
      <c r="I1226" s="43">
        <v>32</v>
      </c>
      <c r="J1226" s="200">
        <f t="shared" si="306"/>
        <v>98400479.790584445</v>
      </c>
      <c r="K1226" s="200">
        <f t="shared" si="304"/>
        <v>83965142.412839398</v>
      </c>
      <c r="L1226" s="324">
        <f t="shared" si="305"/>
        <v>14435337.377745047</v>
      </c>
    </row>
    <row r="1229" spans="1:15" x14ac:dyDescent="0.25">
      <c r="A1229" t="s">
        <v>51</v>
      </c>
    </row>
    <row r="1230" spans="1:15" x14ac:dyDescent="0.25">
      <c r="A1230" s="269" t="s">
        <v>288</v>
      </c>
    </row>
    <row r="1231" spans="1:15" ht="15.75" thickBot="1" x14ac:dyDescent="0.3">
      <c r="A1231" s="313" t="s">
        <v>253</v>
      </c>
      <c r="F1231" s="285"/>
      <c r="G1231" s="285"/>
      <c r="H1231" s="285"/>
    </row>
    <row r="1232" spans="1:15" ht="16.5" thickTop="1" thickBot="1" x14ac:dyDescent="0.3">
      <c r="A1232" s="303" t="s">
        <v>237</v>
      </c>
      <c r="B1232" s="276" t="s">
        <v>233</v>
      </c>
      <c r="C1232" s="276" t="s">
        <v>234</v>
      </c>
      <c r="D1232" s="277" t="s">
        <v>235</v>
      </c>
      <c r="F1232" t="s">
        <v>239</v>
      </c>
      <c r="O1232" s="47"/>
    </row>
    <row r="1233" spans="1:15" x14ac:dyDescent="0.25">
      <c r="A1233" s="304">
        <v>2</v>
      </c>
      <c r="B1233" s="278">
        <v>65.709999999999994</v>
      </c>
      <c r="C1233" s="278">
        <v>44</v>
      </c>
      <c r="D1233" s="305">
        <v>32.450000000000003</v>
      </c>
      <c r="F1233" s="284" t="s">
        <v>237</v>
      </c>
      <c r="G1233" s="292" t="s">
        <v>233</v>
      </c>
      <c r="H1233" s="292" t="s">
        <v>234</v>
      </c>
      <c r="I1233" s="293" t="s">
        <v>235</v>
      </c>
      <c r="O1233" s="47"/>
    </row>
    <row r="1234" spans="1:15" x14ac:dyDescent="0.25">
      <c r="A1234" s="304">
        <v>3</v>
      </c>
      <c r="B1234" s="306">
        <f>(B1233+B1235)/2</f>
        <v>64.36</v>
      </c>
      <c r="C1234" s="306">
        <f>(C1233+C1235)/2</f>
        <v>43.68</v>
      </c>
      <c r="D1234" s="316">
        <f>(D1233+D1235)/2</f>
        <v>32.33</v>
      </c>
      <c r="E1234" s="60"/>
      <c r="F1234" s="321">
        <v>0</v>
      </c>
      <c r="G1234" s="302">
        <f>0*(F1234)^3-0.0005*(F1234)^2+0.059*(F1234)+1.02</f>
        <v>1.02</v>
      </c>
      <c r="H1234" s="302">
        <f>0.00003*(F1234)^3+0.0002*(F1234)^2+0.044*(F1234)+1.39</f>
        <v>1.39</v>
      </c>
      <c r="I1234" s="302">
        <f>0.00003*(F1234)^3-0.0002*(F1234)^2+0.05*(F1234)+1.77</f>
        <v>1.77</v>
      </c>
      <c r="J1234" s="60"/>
      <c r="O1234" s="47"/>
    </row>
    <row r="1235" spans="1:15" x14ac:dyDescent="0.25">
      <c r="A1235" s="304">
        <v>4</v>
      </c>
      <c r="B1235" s="278">
        <v>63.01</v>
      </c>
      <c r="C1235" s="278">
        <v>43.36</v>
      </c>
      <c r="D1235" s="305">
        <v>32.21</v>
      </c>
      <c r="F1235" s="285"/>
      <c r="G1235" s="285"/>
      <c r="H1235" s="285"/>
      <c r="O1235" s="47"/>
    </row>
    <row r="1236" spans="1:15" x14ac:dyDescent="0.25">
      <c r="A1236" s="304">
        <v>5</v>
      </c>
      <c r="B1236" s="306">
        <f>(B1235+B1237)/2</f>
        <v>59.644999999999996</v>
      </c>
      <c r="C1236" s="306">
        <f>(C1235+C1237)/2</f>
        <v>42.54</v>
      </c>
      <c r="D1236" s="316">
        <f>(D1235+D1237)/2</f>
        <v>31.945</v>
      </c>
      <c r="F1236" s="285"/>
      <c r="G1236" s="285"/>
      <c r="H1236" s="285"/>
      <c r="O1236" s="47"/>
    </row>
    <row r="1237" spans="1:15" x14ac:dyDescent="0.25">
      <c r="A1237" s="304">
        <v>6</v>
      </c>
      <c r="B1237" s="278">
        <v>56.28</v>
      </c>
      <c r="C1237" s="278">
        <v>41.72</v>
      </c>
      <c r="D1237" s="305">
        <v>31.68</v>
      </c>
      <c r="F1237" s="104" t="s">
        <v>254</v>
      </c>
      <c r="G1237" s="104"/>
      <c r="H1237" s="310"/>
      <c r="O1237" s="47"/>
    </row>
    <row r="1238" spans="1:15" x14ac:dyDescent="0.25">
      <c r="A1238" s="304">
        <v>7</v>
      </c>
      <c r="B1238" s="306">
        <f>(B1237+B1239)/2</f>
        <v>51.984999999999999</v>
      </c>
      <c r="C1238" s="306">
        <f>(C1237+C1239)/2</f>
        <v>40.26</v>
      </c>
      <c r="D1238" s="316">
        <f>(D1237+D1239)/2</f>
        <v>31.17</v>
      </c>
      <c r="F1238" s="35" t="s">
        <v>255</v>
      </c>
      <c r="G1238" s="35">
        <v>85</v>
      </c>
      <c r="H1238" s="108"/>
      <c r="O1238" s="47"/>
    </row>
    <row r="1239" spans="1:15" x14ac:dyDescent="0.25">
      <c r="A1239" s="304">
        <v>8</v>
      </c>
      <c r="B1239" s="278">
        <v>47.69</v>
      </c>
      <c r="C1239" s="278">
        <v>38.799999999999997</v>
      </c>
      <c r="D1239" s="305">
        <v>30.66</v>
      </c>
      <c r="F1239" s="35" t="s">
        <v>289</v>
      </c>
      <c r="G1239" s="35">
        <v>65</v>
      </c>
      <c r="H1239" s="108"/>
      <c r="O1239" s="47"/>
    </row>
    <row r="1240" spans="1:15" x14ac:dyDescent="0.25">
      <c r="A1240" s="304">
        <v>9</v>
      </c>
      <c r="B1240" s="306">
        <f>(B1239+B1241)/2</f>
        <v>43.875</v>
      </c>
      <c r="C1240" s="306">
        <f>(C1239+C1241)/2</f>
        <v>36.97</v>
      </c>
      <c r="D1240" s="316">
        <f>(D1239+D1241)/2</f>
        <v>29.884999999999998</v>
      </c>
      <c r="F1240" s="35" t="s">
        <v>257</v>
      </c>
      <c r="G1240" s="309">
        <f>G1239/G1238</f>
        <v>0.76470588235294112</v>
      </c>
      <c r="H1240" s="108"/>
      <c r="O1240" s="47"/>
    </row>
    <row r="1241" spans="1:15" x14ac:dyDescent="0.25">
      <c r="A1241" s="304">
        <v>10</v>
      </c>
      <c r="B1241" s="278">
        <v>40.06</v>
      </c>
      <c r="C1241" s="278">
        <v>35.14</v>
      </c>
      <c r="D1241" s="305">
        <v>29.11</v>
      </c>
      <c r="O1241" s="47"/>
    </row>
    <row r="1242" spans="1:15" x14ac:dyDescent="0.25">
      <c r="A1242" s="304">
        <v>11</v>
      </c>
      <c r="B1242" s="306">
        <f>(B1241+B1243)/2</f>
        <v>37.075000000000003</v>
      </c>
      <c r="C1242" s="306">
        <f>(C1241+C1243)/2</f>
        <v>33.28</v>
      </c>
      <c r="D1242" s="316">
        <f>(D1241+D1243)/2</f>
        <v>28.164999999999999</v>
      </c>
      <c r="F1242" s="285"/>
      <c r="G1242" s="285"/>
      <c r="H1242" s="285"/>
      <c r="O1242" s="47"/>
    </row>
    <row r="1243" spans="1:15" ht="15.75" thickBot="1" x14ac:dyDescent="0.3">
      <c r="A1243" s="307">
        <v>12</v>
      </c>
      <c r="B1243" s="283">
        <v>34.090000000000003</v>
      </c>
      <c r="C1243" s="283">
        <v>31.42</v>
      </c>
      <c r="D1243" s="308">
        <v>27.22</v>
      </c>
      <c r="O1243" s="47"/>
    </row>
    <row r="1244" spans="1:15" x14ac:dyDescent="0.25">
      <c r="O1244" s="47"/>
    </row>
    <row r="1245" spans="1:15" x14ac:dyDescent="0.25">
      <c r="K1245" s="317"/>
      <c r="L1245" s="317"/>
      <c r="M1245" s="317"/>
      <c r="N1245" s="317"/>
      <c r="O1245" s="47"/>
    </row>
    <row r="1246" spans="1:15" x14ac:dyDescent="0.25">
      <c r="A1246" s="239" t="s">
        <v>241</v>
      </c>
      <c r="B1246" s="239"/>
      <c r="K1246" s="45"/>
      <c r="L1246" s="45"/>
      <c r="M1246" s="45"/>
      <c r="N1246" s="45"/>
      <c r="O1246" s="47"/>
    </row>
    <row r="1247" spans="1:15" x14ac:dyDescent="0.25">
      <c r="A1247" t="s">
        <v>290</v>
      </c>
      <c r="C1247" t="s">
        <v>227</v>
      </c>
    </row>
    <row r="1248" spans="1:15" x14ac:dyDescent="0.25">
      <c r="A1248" s="43" t="s">
        <v>228</v>
      </c>
      <c r="B1248" s="43">
        <v>13.97</v>
      </c>
    </row>
    <row r="1249" spans="1:14" x14ac:dyDescent="0.25">
      <c r="A1249" s="43" t="s">
        <v>99</v>
      </c>
      <c r="B1249" s="169" t="str">
        <f>$B$20</f>
        <v>P</v>
      </c>
      <c r="C1249" s="575" t="s">
        <v>229</v>
      </c>
      <c r="D1249" s="575"/>
      <c r="E1249" s="575"/>
      <c r="F1249" s="575" t="s">
        <v>230</v>
      </c>
      <c r="G1249" s="576"/>
      <c r="H1249" s="576"/>
      <c r="I1249" s="575" t="s">
        <v>231</v>
      </c>
      <c r="J1249" s="575"/>
      <c r="K1249" s="575"/>
      <c r="L1249" s="575" t="s">
        <v>240</v>
      </c>
      <c r="M1249" s="575"/>
      <c r="N1249" s="575"/>
    </row>
    <row r="1250" spans="1:14" x14ac:dyDescent="0.25">
      <c r="A1250" s="35" t="s">
        <v>18</v>
      </c>
      <c r="B1250" s="95" t="s">
        <v>20</v>
      </c>
      <c r="C1250" s="270" t="s">
        <v>233</v>
      </c>
      <c r="D1250" s="270" t="s">
        <v>234</v>
      </c>
      <c r="E1250" s="270" t="s">
        <v>235</v>
      </c>
      <c r="F1250" s="270" t="s">
        <v>233</v>
      </c>
      <c r="G1250" s="270" t="s">
        <v>234</v>
      </c>
      <c r="H1250" s="270" t="s">
        <v>235</v>
      </c>
      <c r="I1250" s="270" t="s">
        <v>233</v>
      </c>
      <c r="J1250" s="270" t="s">
        <v>234</v>
      </c>
      <c r="K1250" s="270" t="s">
        <v>235</v>
      </c>
      <c r="L1250" s="270" t="s">
        <v>233</v>
      </c>
      <c r="M1250" s="270" t="s">
        <v>234</v>
      </c>
      <c r="N1250" s="270" t="s">
        <v>235</v>
      </c>
    </row>
    <row r="1251" spans="1:14" x14ac:dyDescent="0.25">
      <c r="A1251" s="271">
        <v>0</v>
      </c>
      <c r="B1251" s="272">
        <f>B22*'CO '!$G$1240</f>
        <v>63.470588235294116</v>
      </c>
      <c r="C1251" s="273">
        <f>B1251</f>
        <v>63.470588235294116</v>
      </c>
      <c r="D1251" s="273">
        <f>C1251</f>
        <v>63.470588235294116</v>
      </c>
      <c r="E1251" s="273">
        <f>D1251</f>
        <v>63.470588235294116</v>
      </c>
      <c r="F1251" s="266">
        <f>IF(C1251&gt;$B$1233,2,IF(C1251&gt;$B$1234,3,IF(C1251&gt;$B$1235,4,IF(C1251&gt;$B$1236,5,IF(C1251&gt;$B$1237,6,IF(C1251&gt;$B$1238,7,IF(C1251&gt;$B$1239,8,IF(C1251&gt;$B$1240,9,IF(C1251&gt;$B$1241,10,IF(C1251&gt;$B$1242,11,IF(C1251&gt;$B$1243,12,12)))))))))))</f>
        <v>4</v>
      </c>
      <c r="G1251" s="266">
        <f>IF(D1251&gt;$C$1233,2,IF(D1251&gt;$C$1234,3,IF(D1251&gt;$C$1235,4,IF(D1251&gt;$C$1236,5,IF(D1251&gt;$C$1237,6,IF(D1251&gt;$C$1238,7,IF(D1251&gt;$C$1239,8,IF(D1251&gt;$C$1240,9,IF(D1251&gt;$C$1241,10,IF(D1251&gt;$C$1242,11,IF(D1251&gt;$C$1243,12,12)))))))))))</f>
        <v>2</v>
      </c>
      <c r="H1251" s="266">
        <f>IF(E1251&gt;$D$1233,2,IF(E1251&gt;$D$1234,3,IF(E1251&gt;$D$1235,4,IF(E1251&gt;$D$1236,5,IF(E1251&gt;$D$1237,6,IF(E1251&gt;$D$1238,7,IF(E1251&gt;$D$1239,8,IF(E1251&gt;$D$1240,9,IF(E1251&gt;$D$1241,10,IF(E1251&gt;$D$1242,11,IF(E1251&gt;$D$1243,12,12)))))))))))</f>
        <v>2</v>
      </c>
      <c r="I1251" s="312">
        <f>0*(F1251)^3-0.0005*(F1251)^2+0.059*(F1251)+1.02</f>
        <v>1.248</v>
      </c>
      <c r="J1251" s="312">
        <f>0.00003*(G1251)^3+0.0002*(G1251)^2+0.044*(G1251)+1.39</f>
        <v>1.4790399999999999</v>
      </c>
      <c r="K1251" s="312">
        <f>0.00003*(H1251)^3-0.0002*(H1251)^2+0.05*(H1251)+1.77</f>
        <v>1.86944</v>
      </c>
      <c r="L1251" s="204">
        <f>I1251*$B$1248</f>
        <v>17.434560000000001</v>
      </c>
      <c r="M1251" s="204">
        <f>J1251*$B$1248</f>
        <v>20.662188799999999</v>
      </c>
      <c r="N1251" s="204">
        <f>K1251*$B$1248</f>
        <v>26.116076800000002</v>
      </c>
    </row>
    <row r="1252" spans="1:14" x14ac:dyDescent="0.25">
      <c r="A1252" s="271">
        <v>1</v>
      </c>
      <c r="B1252" s="272">
        <f>B23*'CO '!$G$1240</f>
        <v>63.470588235294116</v>
      </c>
      <c r="C1252" s="273">
        <f t="shared" ref="C1252:C1283" si="307">B1252</f>
        <v>63.470588235294116</v>
      </c>
      <c r="D1252" s="311">
        <f>C1252</f>
        <v>63.470588235294116</v>
      </c>
      <c r="E1252" s="311">
        <f>D1252</f>
        <v>63.470588235294116</v>
      </c>
      <c r="F1252" s="266">
        <f t="shared" ref="F1252:F1283" si="308">IF(C1252&gt;$B$1233,2,IF(C1252&gt;$B$1234,3,IF(C1252&gt;$B$1235,4,IF(C1252&gt;$B$1236,5,IF(C1252&gt;$B$1237,6,IF(C1252&gt;$B$1238,7,IF(C1252&gt;$B$1239,8,IF(C1252&gt;$B$1240,9,IF(C1252&gt;$B$1241,10,IF(C1252&gt;$B$1242,11,IF(C1252&gt;$B$1243,12,12)))))))))))</f>
        <v>4</v>
      </c>
      <c r="G1252" s="266">
        <f t="shared" ref="G1252:G1283" si="309">IF(D1252&gt;$C$1233,2,IF(D1252&gt;$C$1234,3,IF(D1252&gt;$C$1235,4,IF(D1252&gt;$C$1236,5,IF(D1252&gt;$C$1237,6,IF(D1252&gt;$C$1238,7,IF(D1252&gt;$C$1239,8,IF(D1252&gt;$C$1240,9,IF(D1252&gt;$C$1241,10,IF(D1252&gt;$C$1242,11,IF(D1252&gt;$C$1243,12,12)))))))))))</f>
        <v>2</v>
      </c>
      <c r="H1252" s="266">
        <f t="shared" ref="H1252:H1283" si="310">IF(E1252&gt;$D$1233,2,IF(E1252&gt;$D$1234,3,IF(E1252&gt;$D$1235,4,IF(E1252&gt;$D$1236,5,IF(E1252&gt;$D$1237,6,IF(E1252&gt;$D$1238,7,IF(E1252&gt;$D$1239,8,IF(E1252&gt;$D$1240,9,IF(E1252&gt;$D$1241,10,IF(E1252&gt;$D$1242,11,IF(E1252&gt;$D$1243,12,12)))))))))))</f>
        <v>2</v>
      </c>
      <c r="I1252" s="312">
        <f t="shared" ref="I1252:I1281" si="311">0*(F1252)^3-0.0005*(F1252)^2+0.059*(F1252)+1.02</f>
        <v>1.248</v>
      </c>
      <c r="J1252" s="312">
        <f t="shared" ref="J1252:J1281" si="312">0.00003*(G1252)^3+0.0002*(G1252)^2+0.044*(G1252)+1.39</f>
        <v>1.4790399999999999</v>
      </c>
      <c r="K1252" s="312">
        <f t="shared" ref="K1252:K1281" si="313">0.00003*(H1252)^3-0.0002*(H1252)^2+0.05*(H1252)+1.77</f>
        <v>1.86944</v>
      </c>
      <c r="L1252" s="204">
        <f t="shared" ref="L1252:L1281" si="314">I1252*$B$1248</f>
        <v>17.434560000000001</v>
      </c>
      <c r="M1252" s="204">
        <f t="shared" ref="M1252:M1281" si="315">J1252*$B$1248</f>
        <v>20.662188799999999</v>
      </c>
      <c r="N1252" s="204">
        <f t="shared" ref="N1252:N1281" si="316">K1252*$B$1248</f>
        <v>26.116076800000002</v>
      </c>
    </row>
    <row r="1253" spans="1:14" x14ac:dyDescent="0.25">
      <c r="A1253" s="271">
        <v>2</v>
      </c>
      <c r="B1253" s="272">
        <f>B24*'CO '!$G$1240</f>
        <v>63.470588235294116</v>
      </c>
      <c r="C1253" s="273">
        <f t="shared" si="307"/>
        <v>63.470588235294116</v>
      </c>
      <c r="D1253" s="273">
        <f>C1253</f>
        <v>63.470588235294116</v>
      </c>
      <c r="E1253" s="273">
        <f>D1253</f>
        <v>63.470588235294116</v>
      </c>
      <c r="F1253" s="266">
        <f t="shared" si="308"/>
        <v>4</v>
      </c>
      <c r="G1253" s="266">
        <f t="shared" si="309"/>
        <v>2</v>
      </c>
      <c r="H1253" s="266">
        <f t="shared" si="310"/>
        <v>2</v>
      </c>
      <c r="I1253" s="312">
        <f t="shared" si="311"/>
        <v>1.248</v>
      </c>
      <c r="J1253" s="312">
        <f t="shared" si="312"/>
        <v>1.4790399999999999</v>
      </c>
      <c r="K1253" s="312">
        <f t="shared" si="313"/>
        <v>1.86944</v>
      </c>
      <c r="L1253" s="204">
        <f t="shared" si="314"/>
        <v>17.434560000000001</v>
      </c>
      <c r="M1253" s="204">
        <f t="shared" si="315"/>
        <v>20.662188799999999</v>
      </c>
      <c r="N1253" s="204">
        <f t="shared" si="316"/>
        <v>26.116076800000002</v>
      </c>
    </row>
    <row r="1254" spans="1:14" x14ac:dyDescent="0.25">
      <c r="A1254" s="271">
        <v>3</v>
      </c>
      <c r="B1254" s="272">
        <f>B25*'CO '!$G$1240</f>
        <v>63.470588235294116</v>
      </c>
      <c r="C1254" s="273">
        <f t="shared" si="307"/>
        <v>63.470588235294116</v>
      </c>
      <c r="D1254" s="273">
        <f t="shared" ref="D1254:D1281" si="317">C1254</f>
        <v>63.470588235294116</v>
      </c>
      <c r="E1254" s="273">
        <f t="shared" ref="E1254:E1281" si="318">D1254</f>
        <v>63.470588235294116</v>
      </c>
      <c r="F1254" s="266">
        <f t="shared" si="308"/>
        <v>4</v>
      </c>
      <c r="G1254" s="266">
        <f t="shared" si="309"/>
        <v>2</v>
      </c>
      <c r="H1254" s="266">
        <f t="shared" si="310"/>
        <v>2</v>
      </c>
      <c r="I1254" s="312">
        <f t="shared" si="311"/>
        <v>1.248</v>
      </c>
      <c r="J1254" s="312">
        <f t="shared" si="312"/>
        <v>1.4790399999999999</v>
      </c>
      <c r="K1254" s="312">
        <f t="shared" si="313"/>
        <v>1.86944</v>
      </c>
      <c r="L1254" s="204">
        <f t="shared" si="314"/>
        <v>17.434560000000001</v>
      </c>
      <c r="M1254" s="204">
        <f t="shared" si="315"/>
        <v>20.662188799999999</v>
      </c>
      <c r="N1254" s="204">
        <f t="shared" si="316"/>
        <v>26.116076800000002</v>
      </c>
    </row>
    <row r="1255" spans="1:14" x14ac:dyDescent="0.25">
      <c r="A1255" s="271">
        <v>4</v>
      </c>
      <c r="B1255" s="272">
        <f>B26*'CO '!$G$1240</f>
        <v>63.470588235294116</v>
      </c>
      <c r="C1255" s="273">
        <f t="shared" si="307"/>
        <v>63.470588235294116</v>
      </c>
      <c r="D1255" s="273">
        <f t="shared" si="317"/>
        <v>63.470588235294116</v>
      </c>
      <c r="E1255" s="273">
        <f t="shared" si="318"/>
        <v>63.470588235294116</v>
      </c>
      <c r="F1255" s="266">
        <f t="shared" si="308"/>
        <v>4</v>
      </c>
      <c r="G1255" s="266">
        <f t="shared" si="309"/>
        <v>2</v>
      </c>
      <c r="H1255" s="266">
        <f t="shared" si="310"/>
        <v>2</v>
      </c>
      <c r="I1255" s="312">
        <f t="shared" si="311"/>
        <v>1.248</v>
      </c>
      <c r="J1255" s="312">
        <f t="shared" si="312"/>
        <v>1.4790399999999999</v>
      </c>
      <c r="K1255" s="312">
        <f t="shared" si="313"/>
        <v>1.86944</v>
      </c>
      <c r="L1255" s="204">
        <f t="shared" si="314"/>
        <v>17.434560000000001</v>
      </c>
      <c r="M1255" s="204">
        <f t="shared" si="315"/>
        <v>20.662188799999999</v>
      </c>
      <c r="N1255" s="204">
        <f t="shared" si="316"/>
        <v>26.116076800000002</v>
      </c>
    </row>
    <row r="1256" spans="1:14" x14ac:dyDescent="0.25">
      <c r="A1256" s="271">
        <v>5</v>
      </c>
      <c r="B1256" s="272">
        <f>B27*'CO '!$G$1240</f>
        <v>63.470588235294116</v>
      </c>
      <c r="C1256" s="273">
        <f t="shared" si="307"/>
        <v>63.470588235294116</v>
      </c>
      <c r="D1256" s="273">
        <f t="shared" si="317"/>
        <v>63.470588235294116</v>
      </c>
      <c r="E1256" s="273">
        <f t="shared" si="318"/>
        <v>63.470588235294116</v>
      </c>
      <c r="F1256" s="266">
        <f t="shared" si="308"/>
        <v>4</v>
      </c>
      <c r="G1256" s="266">
        <f t="shared" si="309"/>
        <v>2</v>
      </c>
      <c r="H1256" s="266">
        <f t="shared" si="310"/>
        <v>2</v>
      </c>
      <c r="I1256" s="312">
        <f t="shared" si="311"/>
        <v>1.248</v>
      </c>
      <c r="J1256" s="312">
        <f t="shared" si="312"/>
        <v>1.4790399999999999</v>
      </c>
      <c r="K1256" s="312">
        <f t="shared" si="313"/>
        <v>1.86944</v>
      </c>
      <c r="L1256" s="204">
        <f t="shared" si="314"/>
        <v>17.434560000000001</v>
      </c>
      <c r="M1256" s="204">
        <f t="shared" si="315"/>
        <v>20.662188799999999</v>
      </c>
      <c r="N1256" s="204">
        <f t="shared" si="316"/>
        <v>26.116076800000002</v>
      </c>
    </row>
    <row r="1257" spans="1:14" x14ac:dyDescent="0.25">
      <c r="A1257" s="271">
        <v>6</v>
      </c>
      <c r="B1257" s="272">
        <f>B28*'CO '!$G$1240</f>
        <v>63.470588235294116</v>
      </c>
      <c r="C1257" s="273">
        <f t="shared" si="307"/>
        <v>63.470588235294116</v>
      </c>
      <c r="D1257" s="273">
        <f t="shared" si="317"/>
        <v>63.470588235294116</v>
      </c>
      <c r="E1257" s="273">
        <f t="shared" si="318"/>
        <v>63.470588235294116</v>
      </c>
      <c r="F1257" s="266">
        <f t="shared" si="308"/>
        <v>4</v>
      </c>
      <c r="G1257" s="266">
        <f t="shared" si="309"/>
        <v>2</v>
      </c>
      <c r="H1257" s="266">
        <f t="shared" si="310"/>
        <v>2</v>
      </c>
      <c r="I1257" s="312">
        <f t="shared" si="311"/>
        <v>1.248</v>
      </c>
      <c r="J1257" s="312">
        <f t="shared" si="312"/>
        <v>1.4790399999999999</v>
      </c>
      <c r="K1257" s="312">
        <f t="shared" si="313"/>
        <v>1.86944</v>
      </c>
      <c r="L1257" s="204">
        <f t="shared" si="314"/>
        <v>17.434560000000001</v>
      </c>
      <c r="M1257" s="204">
        <f t="shared" si="315"/>
        <v>20.662188799999999</v>
      </c>
      <c r="N1257" s="204">
        <f t="shared" si="316"/>
        <v>26.116076800000002</v>
      </c>
    </row>
    <row r="1258" spans="1:14" x14ac:dyDescent="0.25">
      <c r="A1258" s="271">
        <v>7</v>
      </c>
      <c r="B1258" s="272">
        <f>B29*'CO '!$G$1240</f>
        <v>63.470588235294116</v>
      </c>
      <c r="C1258" s="273">
        <f t="shared" si="307"/>
        <v>63.470588235294116</v>
      </c>
      <c r="D1258" s="273">
        <f t="shared" si="317"/>
        <v>63.470588235294116</v>
      </c>
      <c r="E1258" s="273">
        <f t="shared" si="318"/>
        <v>63.470588235294116</v>
      </c>
      <c r="F1258" s="266">
        <f t="shared" si="308"/>
        <v>4</v>
      </c>
      <c r="G1258" s="266">
        <f t="shared" si="309"/>
        <v>2</v>
      </c>
      <c r="H1258" s="266">
        <f t="shared" si="310"/>
        <v>2</v>
      </c>
      <c r="I1258" s="312">
        <f t="shared" si="311"/>
        <v>1.248</v>
      </c>
      <c r="J1258" s="312">
        <f t="shared" si="312"/>
        <v>1.4790399999999999</v>
      </c>
      <c r="K1258" s="312">
        <f t="shared" si="313"/>
        <v>1.86944</v>
      </c>
      <c r="L1258" s="204">
        <f t="shared" si="314"/>
        <v>17.434560000000001</v>
      </c>
      <c r="M1258" s="204">
        <f t="shared" si="315"/>
        <v>20.662188799999999</v>
      </c>
      <c r="N1258" s="204">
        <f t="shared" si="316"/>
        <v>26.116076800000002</v>
      </c>
    </row>
    <row r="1259" spans="1:14" x14ac:dyDescent="0.25">
      <c r="A1259" s="271">
        <v>8</v>
      </c>
      <c r="B1259" s="272">
        <f>B30*'CO '!$G$1240</f>
        <v>63.470588235294116</v>
      </c>
      <c r="C1259" s="273">
        <f t="shared" si="307"/>
        <v>63.470588235294116</v>
      </c>
      <c r="D1259" s="273">
        <f t="shared" si="317"/>
        <v>63.470588235294116</v>
      </c>
      <c r="E1259" s="273">
        <f t="shared" si="318"/>
        <v>63.470588235294116</v>
      </c>
      <c r="F1259" s="266">
        <f t="shared" si="308"/>
        <v>4</v>
      </c>
      <c r="G1259" s="266">
        <f t="shared" si="309"/>
        <v>2</v>
      </c>
      <c r="H1259" s="266">
        <f t="shared" si="310"/>
        <v>2</v>
      </c>
      <c r="I1259" s="312">
        <f t="shared" si="311"/>
        <v>1.248</v>
      </c>
      <c r="J1259" s="312">
        <f t="shared" si="312"/>
        <v>1.4790399999999999</v>
      </c>
      <c r="K1259" s="312">
        <f t="shared" si="313"/>
        <v>1.86944</v>
      </c>
      <c r="L1259" s="204">
        <f t="shared" si="314"/>
        <v>17.434560000000001</v>
      </c>
      <c r="M1259" s="204">
        <f t="shared" si="315"/>
        <v>20.662188799999999</v>
      </c>
      <c r="N1259" s="204">
        <f t="shared" si="316"/>
        <v>26.116076800000002</v>
      </c>
    </row>
    <row r="1260" spans="1:14" x14ac:dyDescent="0.25">
      <c r="A1260" s="271">
        <v>9</v>
      </c>
      <c r="B1260" s="272">
        <f>B31*'CO '!$G$1240</f>
        <v>63.470588235294116</v>
      </c>
      <c r="C1260" s="273">
        <f t="shared" si="307"/>
        <v>63.470588235294116</v>
      </c>
      <c r="D1260" s="273">
        <f t="shared" si="317"/>
        <v>63.470588235294116</v>
      </c>
      <c r="E1260" s="273">
        <f t="shared" si="318"/>
        <v>63.470588235294116</v>
      </c>
      <c r="F1260" s="266">
        <f t="shared" si="308"/>
        <v>4</v>
      </c>
      <c r="G1260" s="266">
        <f t="shared" si="309"/>
        <v>2</v>
      </c>
      <c r="H1260" s="266">
        <f t="shared" si="310"/>
        <v>2</v>
      </c>
      <c r="I1260" s="312">
        <f t="shared" si="311"/>
        <v>1.248</v>
      </c>
      <c r="J1260" s="312">
        <f t="shared" si="312"/>
        <v>1.4790399999999999</v>
      </c>
      <c r="K1260" s="312">
        <f t="shared" si="313"/>
        <v>1.86944</v>
      </c>
      <c r="L1260" s="204">
        <f t="shared" si="314"/>
        <v>17.434560000000001</v>
      </c>
      <c r="M1260" s="204">
        <f t="shared" si="315"/>
        <v>20.662188799999999</v>
      </c>
      <c r="N1260" s="204">
        <f t="shared" si="316"/>
        <v>26.116076800000002</v>
      </c>
    </row>
    <row r="1261" spans="1:14" x14ac:dyDescent="0.25">
      <c r="A1261" s="271">
        <v>10</v>
      </c>
      <c r="B1261" s="272">
        <f>B32*'CO '!$G$1240</f>
        <v>63.470588235294116</v>
      </c>
      <c r="C1261" s="273">
        <f t="shared" si="307"/>
        <v>63.470588235294116</v>
      </c>
      <c r="D1261" s="273">
        <f t="shared" si="317"/>
        <v>63.470588235294116</v>
      </c>
      <c r="E1261" s="273">
        <f t="shared" si="318"/>
        <v>63.470588235294116</v>
      </c>
      <c r="F1261" s="266">
        <f t="shared" si="308"/>
        <v>4</v>
      </c>
      <c r="G1261" s="266">
        <f t="shared" si="309"/>
        <v>2</v>
      </c>
      <c r="H1261" s="266">
        <f t="shared" si="310"/>
        <v>2</v>
      </c>
      <c r="I1261" s="312">
        <f t="shared" si="311"/>
        <v>1.248</v>
      </c>
      <c r="J1261" s="312">
        <f t="shared" si="312"/>
        <v>1.4790399999999999</v>
      </c>
      <c r="K1261" s="312">
        <f t="shared" si="313"/>
        <v>1.86944</v>
      </c>
      <c r="L1261" s="204">
        <f t="shared" si="314"/>
        <v>17.434560000000001</v>
      </c>
      <c r="M1261" s="204">
        <f t="shared" si="315"/>
        <v>20.662188799999999</v>
      </c>
      <c r="N1261" s="204">
        <f t="shared" si="316"/>
        <v>26.116076800000002</v>
      </c>
    </row>
    <row r="1262" spans="1:14" x14ac:dyDescent="0.25">
      <c r="A1262" s="271">
        <v>11</v>
      </c>
      <c r="B1262" s="272">
        <f>B33*'CO '!$G$1240</f>
        <v>63.470588235294116</v>
      </c>
      <c r="C1262" s="273">
        <f t="shared" si="307"/>
        <v>63.470588235294116</v>
      </c>
      <c r="D1262" s="273">
        <f t="shared" si="317"/>
        <v>63.470588235294116</v>
      </c>
      <c r="E1262" s="273">
        <f t="shared" si="318"/>
        <v>63.470588235294116</v>
      </c>
      <c r="F1262" s="266">
        <f t="shared" si="308"/>
        <v>4</v>
      </c>
      <c r="G1262" s="266">
        <f t="shared" si="309"/>
        <v>2</v>
      </c>
      <c r="H1262" s="266">
        <f t="shared" si="310"/>
        <v>2</v>
      </c>
      <c r="I1262" s="312">
        <f t="shared" si="311"/>
        <v>1.248</v>
      </c>
      <c r="J1262" s="312">
        <f t="shared" si="312"/>
        <v>1.4790399999999999</v>
      </c>
      <c r="K1262" s="312">
        <f t="shared" si="313"/>
        <v>1.86944</v>
      </c>
      <c r="L1262" s="204">
        <f t="shared" si="314"/>
        <v>17.434560000000001</v>
      </c>
      <c r="M1262" s="204">
        <f t="shared" si="315"/>
        <v>20.662188799999999</v>
      </c>
      <c r="N1262" s="204">
        <f t="shared" si="316"/>
        <v>26.116076800000002</v>
      </c>
    </row>
    <row r="1263" spans="1:14" x14ac:dyDescent="0.25">
      <c r="A1263" s="271">
        <v>12</v>
      </c>
      <c r="B1263" s="272">
        <f>B34*'CO '!$G$1240</f>
        <v>63.470588235294116</v>
      </c>
      <c r="C1263" s="273">
        <f t="shared" si="307"/>
        <v>63.470588235294116</v>
      </c>
      <c r="D1263" s="273">
        <f t="shared" si="317"/>
        <v>63.470588235294116</v>
      </c>
      <c r="E1263" s="273">
        <f t="shared" si="318"/>
        <v>63.470588235294116</v>
      </c>
      <c r="F1263" s="266">
        <f t="shared" si="308"/>
        <v>4</v>
      </c>
      <c r="G1263" s="266">
        <f t="shared" si="309"/>
        <v>2</v>
      </c>
      <c r="H1263" s="266">
        <f t="shared" si="310"/>
        <v>2</v>
      </c>
      <c r="I1263" s="312">
        <f t="shared" si="311"/>
        <v>1.248</v>
      </c>
      <c r="J1263" s="312">
        <f t="shared" si="312"/>
        <v>1.4790399999999999</v>
      </c>
      <c r="K1263" s="312">
        <f t="shared" si="313"/>
        <v>1.86944</v>
      </c>
      <c r="L1263" s="204">
        <f t="shared" si="314"/>
        <v>17.434560000000001</v>
      </c>
      <c r="M1263" s="204">
        <f t="shared" si="315"/>
        <v>20.662188799999999</v>
      </c>
      <c r="N1263" s="204">
        <f t="shared" si="316"/>
        <v>26.116076800000002</v>
      </c>
    </row>
    <row r="1264" spans="1:14" x14ac:dyDescent="0.25">
      <c r="A1264" s="271">
        <v>13</v>
      </c>
      <c r="B1264" s="272">
        <f>B35*'CO '!$G$1240</f>
        <v>63.470588235294116</v>
      </c>
      <c r="C1264" s="273">
        <f t="shared" si="307"/>
        <v>63.470588235294116</v>
      </c>
      <c r="D1264" s="273">
        <f t="shared" si="317"/>
        <v>63.470588235294116</v>
      </c>
      <c r="E1264" s="273">
        <f t="shared" si="318"/>
        <v>63.470588235294116</v>
      </c>
      <c r="F1264" s="266">
        <f t="shared" si="308"/>
        <v>4</v>
      </c>
      <c r="G1264" s="266">
        <f t="shared" si="309"/>
        <v>2</v>
      </c>
      <c r="H1264" s="266">
        <f t="shared" si="310"/>
        <v>2</v>
      </c>
      <c r="I1264" s="312">
        <f t="shared" si="311"/>
        <v>1.248</v>
      </c>
      <c r="J1264" s="312">
        <f t="shared" si="312"/>
        <v>1.4790399999999999</v>
      </c>
      <c r="K1264" s="312">
        <f t="shared" si="313"/>
        <v>1.86944</v>
      </c>
      <c r="L1264" s="204">
        <f t="shared" si="314"/>
        <v>17.434560000000001</v>
      </c>
      <c r="M1264" s="204">
        <f t="shared" si="315"/>
        <v>20.662188799999999</v>
      </c>
      <c r="N1264" s="204">
        <f t="shared" si="316"/>
        <v>26.116076800000002</v>
      </c>
    </row>
    <row r="1265" spans="1:14" x14ac:dyDescent="0.25">
      <c r="A1265" s="271">
        <v>14</v>
      </c>
      <c r="B1265" s="272">
        <f>B36*'CO '!$G$1240</f>
        <v>61.17647058823529</v>
      </c>
      <c r="C1265" s="273">
        <f t="shared" si="307"/>
        <v>61.17647058823529</v>
      </c>
      <c r="D1265" s="273">
        <f t="shared" si="317"/>
        <v>61.17647058823529</v>
      </c>
      <c r="E1265" s="273">
        <f t="shared" si="318"/>
        <v>61.17647058823529</v>
      </c>
      <c r="F1265" s="266">
        <f t="shared" si="308"/>
        <v>5</v>
      </c>
      <c r="G1265" s="266">
        <f t="shared" si="309"/>
        <v>2</v>
      </c>
      <c r="H1265" s="266">
        <f t="shared" si="310"/>
        <v>2</v>
      </c>
      <c r="I1265" s="312">
        <f t="shared" si="311"/>
        <v>1.3025</v>
      </c>
      <c r="J1265" s="312">
        <f t="shared" si="312"/>
        <v>1.4790399999999999</v>
      </c>
      <c r="K1265" s="312">
        <f t="shared" si="313"/>
        <v>1.86944</v>
      </c>
      <c r="L1265" s="204">
        <f t="shared" si="314"/>
        <v>18.195924999999999</v>
      </c>
      <c r="M1265" s="204">
        <f t="shared" si="315"/>
        <v>20.662188799999999</v>
      </c>
      <c r="N1265" s="204">
        <f t="shared" si="316"/>
        <v>26.116076800000002</v>
      </c>
    </row>
    <row r="1266" spans="1:14" x14ac:dyDescent="0.25">
      <c r="A1266" s="271">
        <v>15</v>
      </c>
      <c r="B1266" s="272">
        <f>B37*'CO '!$G$1240</f>
        <v>61.17647058823529</v>
      </c>
      <c r="C1266" s="273">
        <f t="shared" si="307"/>
        <v>61.17647058823529</v>
      </c>
      <c r="D1266" s="273">
        <f t="shared" si="317"/>
        <v>61.17647058823529</v>
      </c>
      <c r="E1266" s="273">
        <f t="shared" si="318"/>
        <v>61.17647058823529</v>
      </c>
      <c r="F1266" s="266">
        <f t="shared" si="308"/>
        <v>5</v>
      </c>
      <c r="G1266" s="266">
        <f t="shared" si="309"/>
        <v>2</v>
      </c>
      <c r="H1266" s="266">
        <f t="shared" si="310"/>
        <v>2</v>
      </c>
      <c r="I1266" s="312">
        <f t="shared" si="311"/>
        <v>1.3025</v>
      </c>
      <c r="J1266" s="312">
        <f t="shared" si="312"/>
        <v>1.4790399999999999</v>
      </c>
      <c r="K1266" s="312">
        <f t="shared" si="313"/>
        <v>1.86944</v>
      </c>
      <c r="L1266" s="204">
        <f t="shared" si="314"/>
        <v>18.195924999999999</v>
      </c>
      <c r="M1266" s="204">
        <f t="shared" si="315"/>
        <v>20.662188799999999</v>
      </c>
      <c r="N1266" s="204">
        <f t="shared" si="316"/>
        <v>26.116076800000002</v>
      </c>
    </row>
    <row r="1267" spans="1:14" x14ac:dyDescent="0.25">
      <c r="A1267" s="271">
        <v>16</v>
      </c>
      <c r="B1267" s="272">
        <f>B38*'CO '!$G$1240</f>
        <v>61.17647058823529</v>
      </c>
      <c r="C1267" s="273">
        <f t="shared" si="307"/>
        <v>61.17647058823529</v>
      </c>
      <c r="D1267" s="273">
        <f t="shared" si="317"/>
        <v>61.17647058823529</v>
      </c>
      <c r="E1267" s="273">
        <f t="shared" si="318"/>
        <v>61.17647058823529</v>
      </c>
      <c r="F1267" s="266">
        <f t="shared" si="308"/>
        <v>5</v>
      </c>
      <c r="G1267" s="266">
        <f t="shared" si="309"/>
        <v>2</v>
      </c>
      <c r="H1267" s="266">
        <f t="shared" si="310"/>
        <v>2</v>
      </c>
      <c r="I1267" s="312">
        <f t="shared" si="311"/>
        <v>1.3025</v>
      </c>
      <c r="J1267" s="312">
        <f t="shared" si="312"/>
        <v>1.4790399999999999</v>
      </c>
      <c r="K1267" s="312">
        <f t="shared" si="313"/>
        <v>1.86944</v>
      </c>
      <c r="L1267" s="204">
        <f t="shared" si="314"/>
        <v>18.195924999999999</v>
      </c>
      <c r="M1267" s="204">
        <f t="shared" si="315"/>
        <v>20.662188799999999</v>
      </c>
      <c r="N1267" s="204">
        <f t="shared" si="316"/>
        <v>26.116076800000002</v>
      </c>
    </row>
    <row r="1268" spans="1:14" x14ac:dyDescent="0.25">
      <c r="A1268" s="271">
        <v>17</v>
      </c>
      <c r="B1268" s="272">
        <f>B39*'CO '!$G$1240</f>
        <v>61.17647058823529</v>
      </c>
      <c r="C1268" s="273">
        <f t="shared" si="307"/>
        <v>61.17647058823529</v>
      </c>
      <c r="D1268" s="273">
        <f t="shared" si="317"/>
        <v>61.17647058823529</v>
      </c>
      <c r="E1268" s="273">
        <f t="shared" si="318"/>
        <v>61.17647058823529</v>
      </c>
      <c r="F1268" s="266">
        <f t="shared" si="308"/>
        <v>5</v>
      </c>
      <c r="G1268" s="266">
        <f t="shared" si="309"/>
        <v>2</v>
      </c>
      <c r="H1268" s="266">
        <f t="shared" si="310"/>
        <v>2</v>
      </c>
      <c r="I1268" s="312">
        <f t="shared" si="311"/>
        <v>1.3025</v>
      </c>
      <c r="J1268" s="312">
        <f t="shared" si="312"/>
        <v>1.4790399999999999</v>
      </c>
      <c r="K1268" s="312">
        <f t="shared" si="313"/>
        <v>1.86944</v>
      </c>
      <c r="L1268" s="204">
        <f t="shared" si="314"/>
        <v>18.195924999999999</v>
      </c>
      <c r="M1268" s="204">
        <f t="shared" si="315"/>
        <v>20.662188799999999</v>
      </c>
      <c r="N1268" s="204">
        <f t="shared" si="316"/>
        <v>26.116076800000002</v>
      </c>
    </row>
    <row r="1269" spans="1:14" x14ac:dyDescent="0.25">
      <c r="A1269" s="271">
        <v>18</v>
      </c>
      <c r="B1269" s="272">
        <f>B40*'CO '!$G$1240</f>
        <v>61.17647058823529</v>
      </c>
      <c r="C1269" s="273">
        <f t="shared" si="307"/>
        <v>61.17647058823529</v>
      </c>
      <c r="D1269" s="273">
        <f t="shared" si="317"/>
        <v>61.17647058823529</v>
      </c>
      <c r="E1269" s="273">
        <f t="shared" si="318"/>
        <v>61.17647058823529</v>
      </c>
      <c r="F1269" s="266">
        <f t="shared" si="308"/>
        <v>5</v>
      </c>
      <c r="G1269" s="266">
        <f t="shared" si="309"/>
        <v>2</v>
      </c>
      <c r="H1269" s="266">
        <f t="shared" si="310"/>
        <v>2</v>
      </c>
      <c r="I1269" s="312">
        <f t="shared" si="311"/>
        <v>1.3025</v>
      </c>
      <c r="J1269" s="312">
        <f t="shared" si="312"/>
        <v>1.4790399999999999</v>
      </c>
      <c r="K1269" s="312">
        <f t="shared" si="313"/>
        <v>1.86944</v>
      </c>
      <c r="L1269" s="204">
        <f t="shared" si="314"/>
        <v>18.195924999999999</v>
      </c>
      <c r="M1269" s="204">
        <f t="shared" si="315"/>
        <v>20.662188799999999</v>
      </c>
      <c r="N1269" s="204">
        <f t="shared" si="316"/>
        <v>26.116076800000002</v>
      </c>
    </row>
    <row r="1270" spans="1:14" x14ac:dyDescent="0.25">
      <c r="A1270" s="271">
        <v>19</v>
      </c>
      <c r="B1270" s="272">
        <f>B41*'CO '!$G$1240</f>
        <v>61.17647058823529</v>
      </c>
      <c r="C1270" s="273">
        <f t="shared" si="307"/>
        <v>61.17647058823529</v>
      </c>
      <c r="D1270" s="273">
        <f t="shared" si="317"/>
        <v>61.17647058823529</v>
      </c>
      <c r="E1270" s="273">
        <f t="shared" si="318"/>
        <v>61.17647058823529</v>
      </c>
      <c r="F1270" s="266">
        <f t="shared" si="308"/>
        <v>5</v>
      </c>
      <c r="G1270" s="266">
        <f t="shared" si="309"/>
        <v>2</v>
      </c>
      <c r="H1270" s="266">
        <f t="shared" si="310"/>
        <v>2</v>
      </c>
      <c r="I1270" s="312">
        <f t="shared" si="311"/>
        <v>1.3025</v>
      </c>
      <c r="J1270" s="312">
        <f t="shared" si="312"/>
        <v>1.4790399999999999</v>
      </c>
      <c r="K1270" s="312">
        <f t="shared" si="313"/>
        <v>1.86944</v>
      </c>
      <c r="L1270" s="204">
        <f t="shared" si="314"/>
        <v>18.195924999999999</v>
      </c>
      <c r="M1270" s="204">
        <f t="shared" si="315"/>
        <v>20.662188799999999</v>
      </c>
      <c r="N1270" s="204">
        <f t="shared" si="316"/>
        <v>26.116076800000002</v>
      </c>
    </row>
    <row r="1271" spans="1:14" x14ac:dyDescent="0.25">
      <c r="A1271" s="271">
        <v>20</v>
      </c>
      <c r="B1271" s="272">
        <f>B42*'CO '!$G$1240</f>
        <v>61.17647058823529</v>
      </c>
      <c r="C1271" s="273">
        <f t="shared" si="307"/>
        <v>61.17647058823529</v>
      </c>
      <c r="D1271" s="273">
        <f t="shared" si="317"/>
        <v>61.17647058823529</v>
      </c>
      <c r="E1271" s="273">
        <f t="shared" si="318"/>
        <v>61.17647058823529</v>
      </c>
      <c r="F1271" s="266">
        <f t="shared" si="308"/>
        <v>5</v>
      </c>
      <c r="G1271" s="266">
        <f t="shared" si="309"/>
        <v>2</v>
      </c>
      <c r="H1271" s="266">
        <f t="shared" si="310"/>
        <v>2</v>
      </c>
      <c r="I1271" s="312">
        <f t="shared" si="311"/>
        <v>1.3025</v>
      </c>
      <c r="J1271" s="312">
        <f t="shared" si="312"/>
        <v>1.4790399999999999</v>
      </c>
      <c r="K1271" s="312">
        <f t="shared" si="313"/>
        <v>1.86944</v>
      </c>
      <c r="L1271" s="204">
        <f t="shared" si="314"/>
        <v>18.195924999999999</v>
      </c>
      <c r="M1271" s="204">
        <f t="shared" si="315"/>
        <v>20.662188799999999</v>
      </c>
      <c r="N1271" s="204">
        <f t="shared" si="316"/>
        <v>26.116076800000002</v>
      </c>
    </row>
    <row r="1272" spans="1:14" x14ac:dyDescent="0.25">
      <c r="A1272" s="271">
        <v>21</v>
      </c>
      <c r="B1272" s="272">
        <f>B43*'CO '!$G$1240</f>
        <v>61.17647058823529</v>
      </c>
      <c r="C1272" s="273">
        <f t="shared" si="307"/>
        <v>61.17647058823529</v>
      </c>
      <c r="D1272" s="273">
        <f t="shared" si="317"/>
        <v>61.17647058823529</v>
      </c>
      <c r="E1272" s="273">
        <f t="shared" si="318"/>
        <v>61.17647058823529</v>
      </c>
      <c r="F1272" s="266">
        <f t="shared" si="308"/>
        <v>5</v>
      </c>
      <c r="G1272" s="266">
        <f t="shared" si="309"/>
        <v>2</v>
      </c>
      <c r="H1272" s="266">
        <f t="shared" si="310"/>
        <v>2</v>
      </c>
      <c r="I1272" s="312">
        <f t="shared" si="311"/>
        <v>1.3025</v>
      </c>
      <c r="J1272" s="312">
        <f t="shared" si="312"/>
        <v>1.4790399999999999</v>
      </c>
      <c r="K1272" s="312">
        <f t="shared" si="313"/>
        <v>1.86944</v>
      </c>
      <c r="L1272" s="204">
        <f t="shared" si="314"/>
        <v>18.195924999999999</v>
      </c>
      <c r="M1272" s="204">
        <f t="shared" si="315"/>
        <v>20.662188799999999</v>
      </c>
      <c r="N1272" s="204">
        <f t="shared" si="316"/>
        <v>26.116076800000002</v>
      </c>
    </row>
    <row r="1273" spans="1:14" x14ac:dyDescent="0.25">
      <c r="A1273" s="271">
        <v>22</v>
      </c>
      <c r="B1273" s="272">
        <f>B44*'CO '!$G$1240</f>
        <v>61.17647058823529</v>
      </c>
      <c r="C1273" s="273">
        <f t="shared" si="307"/>
        <v>61.17647058823529</v>
      </c>
      <c r="D1273" s="273">
        <f t="shared" si="317"/>
        <v>61.17647058823529</v>
      </c>
      <c r="E1273" s="273">
        <f t="shared" si="318"/>
        <v>61.17647058823529</v>
      </c>
      <c r="F1273" s="266">
        <f t="shared" si="308"/>
        <v>5</v>
      </c>
      <c r="G1273" s="266">
        <f t="shared" si="309"/>
        <v>2</v>
      </c>
      <c r="H1273" s="266">
        <f t="shared" si="310"/>
        <v>2</v>
      </c>
      <c r="I1273" s="312">
        <f t="shared" si="311"/>
        <v>1.3025</v>
      </c>
      <c r="J1273" s="312">
        <f t="shared" si="312"/>
        <v>1.4790399999999999</v>
      </c>
      <c r="K1273" s="312">
        <f t="shared" si="313"/>
        <v>1.86944</v>
      </c>
      <c r="L1273" s="204">
        <f t="shared" si="314"/>
        <v>18.195924999999999</v>
      </c>
      <c r="M1273" s="204">
        <f t="shared" si="315"/>
        <v>20.662188799999999</v>
      </c>
      <c r="N1273" s="204">
        <f t="shared" si="316"/>
        <v>26.116076800000002</v>
      </c>
    </row>
    <row r="1274" spans="1:14" x14ac:dyDescent="0.25">
      <c r="A1274" s="271">
        <v>23</v>
      </c>
      <c r="B1274" s="272">
        <f>B45*'CO '!$G$1240</f>
        <v>61.17647058823529</v>
      </c>
      <c r="C1274" s="273">
        <f t="shared" si="307"/>
        <v>61.17647058823529</v>
      </c>
      <c r="D1274" s="273">
        <f t="shared" si="317"/>
        <v>61.17647058823529</v>
      </c>
      <c r="E1274" s="273">
        <f t="shared" si="318"/>
        <v>61.17647058823529</v>
      </c>
      <c r="F1274" s="266">
        <f t="shared" si="308"/>
        <v>5</v>
      </c>
      <c r="G1274" s="266">
        <f t="shared" si="309"/>
        <v>2</v>
      </c>
      <c r="H1274" s="266">
        <f t="shared" si="310"/>
        <v>2</v>
      </c>
      <c r="I1274" s="312">
        <f t="shared" si="311"/>
        <v>1.3025</v>
      </c>
      <c r="J1274" s="312">
        <f t="shared" si="312"/>
        <v>1.4790399999999999</v>
      </c>
      <c r="K1274" s="312">
        <f t="shared" si="313"/>
        <v>1.86944</v>
      </c>
      <c r="L1274" s="204">
        <f t="shared" si="314"/>
        <v>18.195924999999999</v>
      </c>
      <c r="M1274" s="204">
        <f t="shared" si="315"/>
        <v>20.662188799999999</v>
      </c>
      <c r="N1274" s="204">
        <f t="shared" si="316"/>
        <v>26.116076800000002</v>
      </c>
    </row>
    <row r="1275" spans="1:14" x14ac:dyDescent="0.25">
      <c r="A1275" s="271">
        <v>24</v>
      </c>
      <c r="B1275" s="272">
        <f>B46*'CO '!$G$1240</f>
        <v>61.17647058823529</v>
      </c>
      <c r="C1275" s="273">
        <f t="shared" si="307"/>
        <v>61.17647058823529</v>
      </c>
      <c r="D1275" s="273">
        <f t="shared" si="317"/>
        <v>61.17647058823529</v>
      </c>
      <c r="E1275" s="273">
        <f t="shared" si="318"/>
        <v>61.17647058823529</v>
      </c>
      <c r="F1275" s="266">
        <f t="shared" si="308"/>
        <v>5</v>
      </c>
      <c r="G1275" s="266">
        <f t="shared" si="309"/>
        <v>2</v>
      </c>
      <c r="H1275" s="266">
        <f t="shared" si="310"/>
        <v>2</v>
      </c>
      <c r="I1275" s="312">
        <f t="shared" si="311"/>
        <v>1.3025</v>
      </c>
      <c r="J1275" s="312">
        <f t="shared" si="312"/>
        <v>1.4790399999999999</v>
      </c>
      <c r="K1275" s="312">
        <f t="shared" si="313"/>
        <v>1.86944</v>
      </c>
      <c r="L1275" s="204">
        <f t="shared" si="314"/>
        <v>18.195924999999999</v>
      </c>
      <c r="M1275" s="204">
        <f t="shared" si="315"/>
        <v>20.662188799999999</v>
      </c>
      <c r="N1275" s="204">
        <f t="shared" si="316"/>
        <v>26.116076800000002</v>
      </c>
    </row>
    <row r="1276" spans="1:14" x14ac:dyDescent="0.25">
      <c r="A1276" s="271">
        <v>25</v>
      </c>
      <c r="B1276" s="272">
        <f>B47*'CO '!$G$1240</f>
        <v>61.17647058823529</v>
      </c>
      <c r="C1276" s="273">
        <f t="shared" si="307"/>
        <v>61.17647058823529</v>
      </c>
      <c r="D1276" s="273">
        <f t="shared" si="317"/>
        <v>61.17647058823529</v>
      </c>
      <c r="E1276" s="273">
        <f t="shared" si="318"/>
        <v>61.17647058823529</v>
      </c>
      <c r="F1276" s="266">
        <f t="shared" si="308"/>
        <v>5</v>
      </c>
      <c r="G1276" s="266">
        <f t="shared" si="309"/>
        <v>2</v>
      </c>
      <c r="H1276" s="266">
        <f t="shared" si="310"/>
        <v>2</v>
      </c>
      <c r="I1276" s="312">
        <f t="shared" si="311"/>
        <v>1.3025</v>
      </c>
      <c r="J1276" s="312">
        <f t="shared" si="312"/>
        <v>1.4790399999999999</v>
      </c>
      <c r="K1276" s="312">
        <f t="shared" si="313"/>
        <v>1.86944</v>
      </c>
      <c r="L1276" s="204">
        <f t="shared" si="314"/>
        <v>18.195924999999999</v>
      </c>
      <c r="M1276" s="204">
        <f t="shared" si="315"/>
        <v>20.662188799999999</v>
      </c>
      <c r="N1276" s="204">
        <f t="shared" si="316"/>
        <v>26.116076800000002</v>
      </c>
    </row>
    <row r="1277" spans="1:14" x14ac:dyDescent="0.25">
      <c r="A1277" s="271">
        <v>26</v>
      </c>
      <c r="B1277" s="272">
        <f>B48*'CO '!$G$1240</f>
        <v>61.17647058823529</v>
      </c>
      <c r="C1277" s="273">
        <f t="shared" si="307"/>
        <v>61.17647058823529</v>
      </c>
      <c r="D1277" s="273">
        <f t="shared" si="317"/>
        <v>61.17647058823529</v>
      </c>
      <c r="E1277" s="273">
        <f t="shared" si="318"/>
        <v>61.17647058823529</v>
      </c>
      <c r="F1277" s="266">
        <f t="shared" si="308"/>
        <v>5</v>
      </c>
      <c r="G1277" s="266">
        <f t="shared" si="309"/>
        <v>2</v>
      </c>
      <c r="H1277" s="266">
        <f t="shared" si="310"/>
        <v>2</v>
      </c>
      <c r="I1277" s="312">
        <f t="shared" si="311"/>
        <v>1.3025</v>
      </c>
      <c r="J1277" s="312">
        <f t="shared" si="312"/>
        <v>1.4790399999999999</v>
      </c>
      <c r="K1277" s="312">
        <f t="shared" si="313"/>
        <v>1.86944</v>
      </c>
      <c r="L1277" s="204">
        <f t="shared" si="314"/>
        <v>18.195924999999999</v>
      </c>
      <c r="M1277" s="204">
        <f t="shared" si="315"/>
        <v>20.662188799999999</v>
      </c>
      <c r="N1277" s="204">
        <f t="shared" si="316"/>
        <v>26.116076800000002</v>
      </c>
    </row>
    <row r="1278" spans="1:14" x14ac:dyDescent="0.25">
      <c r="A1278" s="271">
        <v>27</v>
      </c>
      <c r="B1278" s="272">
        <f>B49*'CO '!$G$1240</f>
        <v>61.17647058823529</v>
      </c>
      <c r="C1278" s="273">
        <f t="shared" si="307"/>
        <v>61.17647058823529</v>
      </c>
      <c r="D1278" s="273">
        <f t="shared" si="317"/>
        <v>61.17647058823529</v>
      </c>
      <c r="E1278" s="273">
        <f t="shared" si="318"/>
        <v>61.17647058823529</v>
      </c>
      <c r="F1278" s="266">
        <f t="shared" si="308"/>
        <v>5</v>
      </c>
      <c r="G1278" s="266">
        <f t="shared" si="309"/>
        <v>2</v>
      </c>
      <c r="H1278" s="266">
        <f t="shared" si="310"/>
        <v>2</v>
      </c>
      <c r="I1278" s="312">
        <f t="shared" si="311"/>
        <v>1.3025</v>
      </c>
      <c r="J1278" s="312">
        <f t="shared" si="312"/>
        <v>1.4790399999999999</v>
      </c>
      <c r="K1278" s="312">
        <f t="shared" si="313"/>
        <v>1.86944</v>
      </c>
      <c r="L1278" s="204">
        <f t="shared" si="314"/>
        <v>18.195924999999999</v>
      </c>
      <c r="M1278" s="204">
        <f t="shared" si="315"/>
        <v>20.662188799999999</v>
      </c>
      <c r="N1278" s="204">
        <f t="shared" si="316"/>
        <v>26.116076800000002</v>
      </c>
    </row>
    <row r="1279" spans="1:14" x14ac:dyDescent="0.25">
      <c r="A1279" s="271">
        <v>28</v>
      </c>
      <c r="B1279" s="272">
        <f>B50*'CO '!$G$1240</f>
        <v>61.17647058823529</v>
      </c>
      <c r="C1279" s="273">
        <f t="shared" si="307"/>
        <v>61.17647058823529</v>
      </c>
      <c r="D1279" s="273">
        <f t="shared" si="317"/>
        <v>61.17647058823529</v>
      </c>
      <c r="E1279" s="273">
        <f t="shared" si="318"/>
        <v>61.17647058823529</v>
      </c>
      <c r="F1279" s="266">
        <f t="shared" si="308"/>
        <v>5</v>
      </c>
      <c r="G1279" s="266">
        <f t="shared" si="309"/>
        <v>2</v>
      </c>
      <c r="H1279" s="266">
        <f t="shared" si="310"/>
        <v>2</v>
      </c>
      <c r="I1279" s="312">
        <f t="shared" si="311"/>
        <v>1.3025</v>
      </c>
      <c r="J1279" s="312">
        <f t="shared" si="312"/>
        <v>1.4790399999999999</v>
      </c>
      <c r="K1279" s="312">
        <f t="shared" si="313"/>
        <v>1.86944</v>
      </c>
      <c r="L1279" s="204">
        <f t="shared" si="314"/>
        <v>18.195924999999999</v>
      </c>
      <c r="M1279" s="204">
        <f t="shared" si="315"/>
        <v>20.662188799999999</v>
      </c>
      <c r="N1279" s="204">
        <f t="shared" si="316"/>
        <v>26.116076800000002</v>
      </c>
    </row>
    <row r="1280" spans="1:14" x14ac:dyDescent="0.25">
      <c r="A1280" s="271">
        <v>29</v>
      </c>
      <c r="B1280" s="272">
        <f>B51*'CO '!$G$1240</f>
        <v>61.17647058823529</v>
      </c>
      <c r="C1280" s="273">
        <f t="shared" si="307"/>
        <v>61.17647058823529</v>
      </c>
      <c r="D1280" s="273">
        <f t="shared" si="317"/>
        <v>61.17647058823529</v>
      </c>
      <c r="E1280" s="273">
        <f t="shared" si="318"/>
        <v>61.17647058823529</v>
      </c>
      <c r="F1280" s="266">
        <f t="shared" si="308"/>
        <v>5</v>
      </c>
      <c r="G1280" s="266">
        <f t="shared" si="309"/>
        <v>2</v>
      </c>
      <c r="H1280" s="266">
        <f t="shared" si="310"/>
        <v>2</v>
      </c>
      <c r="I1280" s="312">
        <f t="shared" si="311"/>
        <v>1.3025</v>
      </c>
      <c r="J1280" s="312">
        <f t="shared" si="312"/>
        <v>1.4790399999999999</v>
      </c>
      <c r="K1280" s="312">
        <f t="shared" si="313"/>
        <v>1.86944</v>
      </c>
      <c r="L1280" s="204">
        <f t="shared" si="314"/>
        <v>18.195924999999999</v>
      </c>
      <c r="M1280" s="204">
        <f t="shared" si="315"/>
        <v>20.662188799999999</v>
      </c>
      <c r="N1280" s="204">
        <f t="shared" si="316"/>
        <v>26.116076800000002</v>
      </c>
    </row>
    <row r="1281" spans="1:14" x14ac:dyDescent="0.25">
      <c r="A1281" s="271">
        <v>30</v>
      </c>
      <c r="B1281" s="272">
        <f>B52*'CO '!$G$1240</f>
        <v>61.17647058823529</v>
      </c>
      <c r="C1281" s="273">
        <f t="shared" si="307"/>
        <v>61.17647058823529</v>
      </c>
      <c r="D1281" s="273">
        <f t="shared" si="317"/>
        <v>61.17647058823529</v>
      </c>
      <c r="E1281" s="273">
        <f t="shared" si="318"/>
        <v>61.17647058823529</v>
      </c>
      <c r="F1281" s="266">
        <f t="shared" si="308"/>
        <v>5</v>
      </c>
      <c r="G1281" s="266">
        <f t="shared" si="309"/>
        <v>2</v>
      </c>
      <c r="H1281" s="266">
        <f t="shared" si="310"/>
        <v>2</v>
      </c>
      <c r="I1281" s="312">
        <f t="shared" si="311"/>
        <v>1.3025</v>
      </c>
      <c r="J1281" s="312">
        <f t="shared" si="312"/>
        <v>1.4790399999999999</v>
      </c>
      <c r="K1281" s="312">
        <f t="shared" si="313"/>
        <v>1.86944</v>
      </c>
      <c r="L1281" s="204">
        <f t="shared" si="314"/>
        <v>18.195924999999999</v>
      </c>
      <c r="M1281" s="204">
        <f t="shared" si="315"/>
        <v>20.662188799999999</v>
      </c>
      <c r="N1281" s="204">
        <f t="shared" si="316"/>
        <v>26.116076800000002</v>
      </c>
    </row>
    <row r="1282" spans="1:14" x14ac:dyDescent="0.25">
      <c r="A1282" s="271">
        <v>31</v>
      </c>
      <c r="B1282" s="272">
        <f>B53*'CO '!$G$1240</f>
        <v>61.17647058823529</v>
      </c>
      <c r="C1282" s="273">
        <f t="shared" si="307"/>
        <v>61.17647058823529</v>
      </c>
      <c r="D1282" s="273">
        <f>C1282</f>
        <v>61.17647058823529</v>
      </c>
      <c r="E1282" s="273">
        <f>D1282</f>
        <v>61.17647058823529</v>
      </c>
      <c r="F1282" s="266">
        <f t="shared" si="308"/>
        <v>5</v>
      </c>
      <c r="G1282" s="266">
        <f t="shared" si="309"/>
        <v>2</v>
      </c>
      <c r="H1282" s="266">
        <f t="shared" si="310"/>
        <v>2</v>
      </c>
      <c r="I1282" s="312">
        <f>0*(F1282)^3-0.0005*(F1282)^2+0.059*(F1282)+1.02</f>
        <v>1.3025</v>
      </c>
      <c r="J1282" s="312">
        <f>0.00003*(G1282)^3+0.0002*(G1282)^2+0.044*(G1282)+1.39</f>
        <v>1.4790399999999999</v>
      </c>
      <c r="K1282" s="312">
        <f>0.00003*(H1282)^3-0.0002*(H1282)^2+0.05*(H1282)+1.77</f>
        <v>1.86944</v>
      </c>
      <c r="L1282" s="204">
        <f t="shared" ref="L1282:N1283" si="319">I1282*$B$1248</f>
        <v>18.195924999999999</v>
      </c>
      <c r="M1282" s="204">
        <f t="shared" si="319"/>
        <v>20.662188799999999</v>
      </c>
      <c r="N1282" s="204">
        <f t="shared" si="319"/>
        <v>26.116076800000002</v>
      </c>
    </row>
    <row r="1283" spans="1:14" x14ac:dyDescent="0.25">
      <c r="A1283" s="271">
        <v>32</v>
      </c>
      <c r="B1283" s="272">
        <f>B54*'CO '!$G$1240</f>
        <v>61.17647058823529</v>
      </c>
      <c r="C1283" s="273">
        <f t="shared" si="307"/>
        <v>61.17647058823529</v>
      </c>
      <c r="D1283" s="273">
        <f>C1283</f>
        <v>61.17647058823529</v>
      </c>
      <c r="E1283" s="273">
        <f>D1283</f>
        <v>61.17647058823529</v>
      </c>
      <c r="F1283" s="266">
        <f t="shared" si="308"/>
        <v>5</v>
      </c>
      <c r="G1283" s="266">
        <f t="shared" si="309"/>
        <v>2</v>
      </c>
      <c r="H1283" s="266">
        <f t="shared" si="310"/>
        <v>2</v>
      </c>
      <c r="I1283" s="312">
        <f>0*(F1283)^3-0.0005*(F1283)^2+0.059*(F1283)+1.02</f>
        <v>1.3025</v>
      </c>
      <c r="J1283" s="312">
        <f>0.00003*(G1283)^3+0.0002*(G1283)^2+0.044*(G1283)+1.39</f>
        <v>1.4790399999999999</v>
      </c>
      <c r="K1283" s="312">
        <f>0.00003*(H1283)^3-0.0002*(H1283)^2+0.05*(H1283)+1.77</f>
        <v>1.86944</v>
      </c>
      <c r="L1283" s="204">
        <f t="shared" si="319"/>
        <v>18.195924999999999</v>
      </c>
      <c r="M1283" s="204">
        <f t="shared" si="319"/>
        <v>20.662188799999999</v>
      </c>
      <c r="N1283" s="204">
        <f t="shared" si="319"/>
        <v>26.116076800000002</v>
      </c>
    </row>
    <row r="1284" spans="1:14" x14ac:dyDescent="0.25">
      <c r="A1284" s="239" t="s">
        <v>13</v>
      </c>
      <c r="B1284" s="239"/>
    </row>
    <row r="1285" spans="1:14" x14ac:dyDescent="0.25">
      <c r="A1285" t="s">
        <v>290</v>
      </c>
      <c r="C1285" t="s">
        <v>238</v>
      </c>
    </row>
    <row r="1286" spans="1:14" x14ac:dyDescent="0.25">
      <c r="A1286" s="43" t="s">
        <v>228</v>
      </c>
      <c r="B1286" s="43">
        <f>B1248</f>
        <v>13.97</v>
      </c>
    </row>
    <row r="1287" spans="1:14" x14ac:dyDescent="0.25">
      <c r="A1287" s="43" t="s">
        <v>99</v>
      </c>
      <c r="B1287" s="169" t="str">
        <f>$B$57</f>
        <v>P</v>
      </c>
      <c r="C1287" s="575" t="s">
        <v>229</v>
      </c>
      <c r="D1287" s="575"/>
      <c r="E1287" s="575"/>
      <c r="F1287" s="575" t="s">
        <v>230</v>
      </c>
      <c r="G1287" s="576"/>
      <c r="H1287" s="576"/>
      <c r="I1287" s="575" t="s">
        <v>231</v>
      </c>
      <c r="J1287" s="575"/>
      <c r="K1287" s="575"/>
      <c r="L1287" s="575" t="s">
        <v>240</v>
      </c>
      <c r="M1287" s="575"/>
      <c r="N1287" s="575"/>
    </row>
    <row r="1288" spans="1:14" x14ac:dyDescent="0.25">
      <c r="A1288" s="35" t="s">
        <v>18</v>
      </c>
      <c r="B1288" s="95" t="s">
        <v>20</v>
      </c>
      <c r="C1288" s="270" t="s">
        <v>233</v>
      </c>
      <c r="D1288" s="270" t="s">
        <v>234</v>
      </c>
      <c r="E1288" s="270" t="s">
        <v>235</v>
      </c>
      <c r="F1288" s="270" t="s">
        <v>233</v>
      </c>
      <c r="G1288" s="270" t="s">
        <v>234</v>
      </c>
      <c r="H1288" s="270" t="s">
        <v>235</v>
      </c>
      <c r="I1288" s="270" t="s">
        <v>233</v>
      </c>
      <c r="J1288" s="270" t="s">
        <v>234</v>
      </c>
      <c r="K1288" s="270" t="s">
        <v>235</v>
      </c>
      <c r="L1288" s="270" t="s">
        <v>233</v>
      </c>
      <c r="M1288" s="270" t="s">
        <v>234</v>
      </c>
      <c r="N1288" s="270" t="s">
        <v>235</v>
      </c>
    </row>
    <row r="1289" spans="1:14" x14ac:dyDescent="0.25">
      <c r="A1289" s="271">
        <v>0</v>
      </c>
      <c r="B1289" s="272">
        <f>B59*'CO '!$G$1240</f>
        <v>79.780011153850154</v>
      </c>
      <c r="C1289" s="273">
        <f>B1289</f>
        <v>79.780011153850154</v>
      </c>
      <c r="D1289" s="273">
        <f>C1289</f>
        <v>79.780011153850154</v>
      </c>
      <c r="E1289" s="273">
        <f>D1289</f>
        <v>79.780011153850154</v>
      </c>
      <c r="F1289" s="266">
        <f>IF(C1289&gt;$B$1233,2,IF(C1289&gt;$B$1234,3,IF(C1289&gt;$B$1235,4,IF(C1289&gt;$B$1236,5,IF(C1289&gt;$B$1237,6,IF(C1289&gt;$B$1238,7,IF(C1289&gt;$B$1239,8,IF(C1289&gt;$B$1240,9,IF(C1289&gt;$B$1241,10,IF(C1289&gt;$B$1242,11,IF(C1289&gt;$B$1243,12,12)))))))))))</f>
        <v>2</v>
      </c>
      <c r="G1289" s="266">
        <f>IF(D1289&gt;$C$1233,2,IF(D1289&gt;$C$1234,3,IF(D1289&gt;$C$1235,4,IF(D1289&gt;$C$1236,5,IF(D1289&gt;$C$1237,6,IF(D1289&gt;$C$1238,7,IF(D1289&gt;$C$1239,8,IF(D1289&gt;$C$1240,9,IF(D1289&gt;$C$1241,10,IF(D1289&gt;$C$1242,11,IF(D1289&gt;$C$1243,12,12)))))))))))</f>
        <v>2</v>
      </c>
      <c r="H1289" s="266">
        <f>IF(E1289&gt;$D$1233,2,IF(E1289&gt;$D$1234,3,IF(E1289&gt;$D$1235,4,IF(E1289&gt;$D$1236,5,IF(E1289&gt;$D$1237,6,IF(E1289&gt;$D$1238,7,IF(E1289&gt;$D$1239,8,IF(E1289&gt;$D$1240,9,IF(E1289&gt;$D$1241,10,IF(E1289&gt;$D$1242,11,IF(E1289&gt;$D$1243,12,12)))))))))))</f>
        <v>2</v>
      </c>
      <c r="I1289" s="312">
        <f>0*(F1289)^3-0.0005*(F1289)^2+0.059*(F1289)+1.02</f>
        <v>1.1360000000000001</v>
      </c>
      <c r="J1289" s="312">
        <f>0.00003*(G1289)^3+0.0002*(G1289)^2+0.044*(G1289)+1.39</f>
        <v>1.4790399999999999</v>
      </c>
      <c r="K1289" s="312">
        <f>0.00003*(H1289)^3-0.0002*(H1289)^2+0.05*(H1289)+1.77</f>
        <v>1.86944</v>
      </c>
      <c r="L1289" s="204">
        <f>I1289*$B$1248</f>
        <v>15.869920000000002</v>
      </c>
      <c r="M1289" s="204">
        <f>J1289*$B$1248</f>
        <v>20.662188799999999</v>
      </c>
      <c r="N1289" s="204">
        <f>K1289*$B$1248</f>
        <v>26.116076800000002</v>
      </c>
    </row>
    <row r="1290" spans="1:14" x14ac:dyDescent="0.25">
      <c r="A1290" s="271">
        <v>1</v>
      </c>
      <c r="B1290" s="272">
        <f>B60*'CO '!$G$1240</f>
        <v>79.535176194348011</v>
      </c>
      <c r="C1290" s="273">
        <f t="shared" ref="C1290:C1321" si="320">B1290</f>
        <v>79.535176194348011</v>
      </c>
      <c r="D1290" s="311">
        <f>C1290</f>
        <v>79.535176194348011</v>
      </c>
      <c r="E1290" s="311">
        <f>D1290</f>
        <v>79.535176194348011</v>
      </c>
      <c r="F1290" s="266">
        <f t="shared" ref="F1290:F1321" si="321">IF(C1290&gt;$B$1233,2,IF(C1290&gt;$B$1234,3,IF(C1290&gt;$B$1235,4,IF(C1290&gt;$B$1236,5,IF(C1290&gt;$B$1237,6,IF(C1290&gt;$B$1238,7,IF(C1290&gt;$B$1239,8,IF(C1290&gt;$B$1240,9,IF(C1290&gt;$B$1241,10,IF(C1290&gt;$B$1242,11,IF(C1290&gt;$B$1243,12,12)))))))))))</f>
        <v>2</v>
      </c>
      <c r="G1290" s="266">
        <f t="shared" ref="G1290:G1321" si="322">IF(D1290&gt;$C$1233,2,IF(D1290&gt;$C$1234,3,IF(D1290&gt;$C$1235,4,IF(D1290&gt;$C$1236,5,IF(D1290&gt;$C$1237,6,IF(D1290&gt;$C$1238,7,IF(D1290&gt;$C$1239,8,IF(D1290&gt;$C$1240,9,IF(D1290&gt;$C$1241,10,IF(D1290&gt;$C$1242,11,IF(D1290&gt;$C$1243,12,12)))))))))))</f>
        <v>2</v>
      </c>
      <c r="H1290" s="266">
        <f t="shared" ref="H1290:H1321" si="323">IF(E1290&gt;$D$1233,2,IF(E1290&gt;$D$1234,3,IF(E1290&gt;$D$1235,4,IF(E1290&gt;$D$1236,5,IF(E1290&gt;$D$1237,6,IF(E1290&gt;$D$1238,7,IF(E1290&gt;$D$1239,8,IF(E1290&gt;$D$1240,9,IF(E1290&gt;$D$1241,10,IF(E1290&gt;$D$1242,11,IF(E1290&gt;$D$1243,12,12)))))))))))</f>
        <v>2</v>
      </c>
      <c r="I1290" s="312">
        <f t="shared" ref="I1290:I1319" si="324">0*(F1290)^3-0.0005*(F1290)^2+0.059*(F1290)+1.02</f>
        <v>1.1360000000000001</v>
      </c>
      <c r="J1290" s="312">
        <f t="shared" ref="J1290:J1319" si="325">0.00003*(G1290)^3+0.0002*(G1290)^2+0.044*(G1290)+1.39</f>
        <v>1.4790399999999999</v>
      </c>
      <c r="K1290" s="312">
        <f t="shared" ref="K1290:K1319" si="326">0.00003*(H1290)^3-0.0002*(H1290)^2+0.05*(H1290)+1.77</f>
        <v>1.86944</v>
      </c>
      <c r="L1290" s="204">
        <f t="shared" ref="L1290:L1319" si="327">I1290*$B$1248</f>
        <v>15.869920000000002</v>
      </c>
      <c r="M1290" s="204">
        <f t="shared" ref="M1290:M1319" si="328">J1290*$B$1248</f>
        <v>20.662188799999999</v>
      </c>
      <c r="N1290" s="204">
        <f t="shared" ref="N1290:N1319" si="329">K1290*$B$1248</f>
        <v>26.116076800000002</v>
      </c>
    </row>
    <row r="1291" spans="1:14" x14ac:dyDescent="0.25">
      <c r="A1291" s="271">
        <v>2</v>
      </c>
      <c r="B1291" s="272">
        <f>B61*'CO '!$G$1240</f>
        <v>79.282996186060814</v>
      </c>
      <c r="C1291" s="273">
        <f t="shared" si="320"/>
        <v>79.282996186060814</v>
      </c>
      <c r="D1291" s="273">
        <f>C1291</f>
        <v>79.282996186060814</v>
      </c>
      <c r="E1291" s="273">
        <f>D1291</f>
        <v>79.282996186060814</v>
      </c>
      <c r="F1291" s="266">
        <f t="shared" si="321"/>
        <v>2</v>
      </c>
      <c r="G1291" s="266">
        <f t="shared" si="322"/>
        <v>2</v>
      </c>
      <c r="H1291" s="266">
        <f t="shared" si="323"/>
        <v>2</v>
      </c>
      <c r="I1291" s="312">
        <f t="shared" si="324"/>
        <v>1.1360000000000001</v>
      </c>
      <c r="J1291" s="312">
        <f t="shared" si="325"/>
        <v>1.4790399999999999</v>
      </c>
      <c r="K1291" s="312">
        <f t="shared" si="326"/>
        <v>1.86944</v>
      </c>
      <c r="L1291" s="204">
        <f t="shared" si="327"/>
        <v>15.869920000000002</v>
      </c>
      <c r="M1291" s="204">
        <f t="shared" si="328"/>
        <v>20.662188799999999</v>
      </c>
      <c r="N1291" s="204">
        <f t="shared" si="329"/>
        <v>26.116076800000002</v>
      </c>
    </row>
    <row r="1292" spans="1:14" x14ac:dyDescent="0.25">
      <c r="A1292" s="271">
        <v>3</v>
      </c>
      <c r="B1292" s="272">
        <f>B62*'CO '!$G$1240</f>
        <v>79.121249960965244</v>
      </c>
      <c r="C1292" s="273">
        <f t="shared" si="320"/>
        <v>79.121249960965244</v>
      </c>
      <c r="D1292" s="273">
        <f t="shared" ref="D1292:D1319" si="330">C1292</f>
        <v>79.121249960965244</v>
      </c>
      <c r="E1292" s="273">
        <f t="shared" ref="E1292:E1319" si="331">D1292</f>
        <v>79.121249960965244</v>
      </c>
      <c r="F1292" s="266">
        <f t="shared" si="321"/>
        <v>2</v>
      </c>
      <c r="G1292" s="266">
        <f t="shared" si="322"/>
        <v>2</v>
      </c>
      <c r="H1292" s="266">
        <f t="shared" si="323"/>
        <v>2</v>
      </c>
      <c r="I1292" s="312">
        <f t="shared" si="324"/>
        <v>1.1360000000000001</v>
      </c>
      <c r="J1292" s="312">
        <f t="shared" si="325"/>
        <v>1.4790399999999999</v>
      </c>
      <c r="K1292" s="312">
        <f t="shared" si="326"/>
        <v>1.86944</v>
      </c>
      <c r="L1292" s="204">
        <f t="shared" si="327"/>
        <v>15.869920000000002</v>
      </c>
      <c r="M1292" s="204">
        <f t="shared" si="328"/>
        <v>20.662188799999999</v>
      </c>
      <c r="N1292" s="204">
        <f t="shared" si="329"/>
        <v>26.116076800000002</v>
      </c>
    </row>
    <row r="1293" spans="1:14" x14ac:dyDescent="0.25">
      <c r="A1293" s="271">
        <v>4</v>
      </c>
      <c r="B1293" s="272">
        <f>B63*'CO '!$G$1240</f>
        <v>78.85665216567655</v>
      </c>
      <c r="C1293" s="273">
        <f t="shared" si="320"/>
        <v>78.85665216567655</v>
      </c>
      <c r="D1293" s="273">
        <f t="shared" si="330"/>
        <v>78.85665216567655</v>
      </c>
      <c r="E1293" s="273">
        <f t="shared" si="331"/>
        <v>78.85665216567655</v>
      </c>
      <c r="F1293" s="266">
        <f t="shared" si="321"/>
        <v>2</v>
      </c>
      <c r="G1293" s="266">
        <f t="shared" si="322"/>
        <v>2</v>
      </c>
      <c r="H1293" s="266">
        <f t="shared" si="323"/>
        <v>2</v>
      </c>
      <c r="I1293" s="312">
        <f t="shared" si="324"/>
        <v>1.1360000000000001</v>
      </c>
      <c r="J1293" s="312">
        <f t="shared" si="325"/>
        <v>1.4790399999999999</v>
      </c>
      <c r="K1293" s="312">
        <f t="shared" si="326"/>
        <v>1.86944</v>
      </c>
      <c r="L1293" s="204">
        <f t="shared" si="327"/>
        <v>15.869920000000002</v>
      </c>
      <c r="M1293" s="204">
        <f t="shared" si="328"/>
        <v>20.662188799999999</v>
      </c>
      <c r="N1293" s="204">
        <f t="shared" si="329"/>
        <v>26.116076800000002</v>
      </c>
    </row>
    <row r="1294" spans="1:14" x14ac:dyDescent="0.25">
      <c r="A1294" s="271">
        <v>5</v>
      </c>
      <c r="B1294" s="272">
        <f>B64*'CO '!$G$1240</f>
        <v>78.5841164365292</v>
      </c>
      <c r="C1294" s="273">
        <f t="shared" si="320"/>
        <v>78.5841164365292</v>
      </c>
      <c r="D1294" s="273">
        <f t="shared" si="330"/>
        <v>78.5841164365292</v>
      </c>
      <c r="E1294" s="273">
        <f t="shared" si="331"/>
        <v>78.5841164365292</v>
      </c>
      <c r="F1294" s="266">
        <f t="shared" si="321"/>
        <v>2</v>
      </c>
      <c r="G1294" s="266">
        <f t="shared" si="322"/>
        <v>2</v>
      </c>
      <c r="H1294" s="266">
        <f t="shared" si="323"/>
        <v>2</v>
      </c>
      <c r="I1294" s="312">
        <f t="shared" si="324"/>
        <v>1.1360000000000001</v>
      </c>
      <c r="J1294" s="312">
        <f t="shared" si="325"/>
        <v>1.4790399999999999</v>
      </c>
      <c r="K1294" s="312">
        <f t="shared" si="326"/>
        <v>1.86944</v>
      </c>
      <c r="L1294" s="204">
        <f t="shared" si="327"/>
        <v>15.869920000000002</v>
      </c>
      <c r="M1294" s="204">
        <f t="shared" si="328"/>
        <v>20.662188799999999</v>
      </c>
      <c r="N1294" s="204">
        <f t="shared" si="329"/>
        <v>26.116076800000002</v>
      </c>
    </row>
    <row r="1295" spans="1:14" x14ac:dyDescent="0.25">
      <c r="A1295" s="271">
        <v>6</v>
      </c>
      <c r="B1295" s="272">
        <f>B65*'CO '!$G$1240</f>
        <v>78.303404635507434</v>
      </c>
      <c r="C1295" s="273">
        <f t="shared" si="320"/>
        <v>78.303404635507434</v>
      </c>
      <c r="D1295" s="273">
        <f t="shared" si="330"/>
        <v>78.303404635507434</v>
      </c>
      <c r="E1295" s="273">
        <f t="shared" si="331"/>
        <v>78.303404635507434</v>
      </c>
      <c r="F1295" s="266">
        <f t="shared" si="321"/>
        <v>2</v>
      </c>
      <c r="G1295" s="266">
        <f t="shared" si="322"/>
        <v>2</v>
      </c>
      <c r="H1295" s="266">
        <f t="shared" si="323"/>
        <v>2</v>
      </c>
      <c r="I1295" s="312">
        <f t="shared" si="324"/>
        <v>1.1360000000000001</v>
      </c>
      <c r="J1295" s="312">
        <f t="shared" si="325"/>
        <v>1.4790399999999999</v>
      </c>
      <c r="K1295" s="312">
        <f t="shared" si="326"/>
        <v>1.86944</v>
      </c>
      <c r="L1295" s="204">
        <f t="shared" si="327"/>
        <v>15.869920000000002</v>
      </c>
      <c r="M1295" s="204">
        <f t="shared" si="328"/>
        <v>20.662188799999999</v>
      </c>
      <c r="N1295" s="204">
        <f t="shared" si="329"/>
        <v>26.116076800000002</v>
      </c>
    </row>
    <row r="1296" spans="1:14" x14ac:dyDescent="0.25">
      <c r="A1296" s="271">
        <v>7</v>
      </c>
      <c r="B1296" s="272">
        <f>B66*'CO '!$G$1240</f>
        <v>78.014271480455008</v>
      </c>
      <c r="C1296" s="273">
        <f t="shared" si="320"/>
        <v>78.014271480455008</v>
      </c>
      <c r="D1296" s="273">
        <f t="shared" si="330"/>
        <v>78.014271480455008</v>
      </c>
      <c r="E1296" s="273">
        <f t="shared" si="331"/>
        <v>78.014271480455008</v>
      </c>
      <c r="F1296" s="266">
        <f t="shared" si="321"/>
        <v>2</v>
      </c>
      <c r="G1296" s="266">
        <f t="shared" si="322"/>
        <v>2</v>
      </c>
      <c r="H1296" s="266">
        <f t="shared" si="323"/>
        <v>2</v>
      </c>
      <c r="I1296" s="312">
        <f t="shared" si="324"/>
        <v>1.1360000000000001</v>
      </c>
      <c r="J1296" s="312">
        <f t="shared" si="325"/>
        <v>1.4790399999999999</v>
      </c>
      <c r="K1296" s="312">
        <f t="shared" si="326"/>
        <v>1.86944</v>
      </c>
      <c r="L1296" s="204">
        <f t="shared" si="327"/>
        <v>15.869920000000002</v>
      </c>
      <c r="M1296" s="204">
        <f t="shared" si="328"/>
        <v>20.662188799999999</v>
      </c>
      <c r="N1296" s="204">
        <f t="shared" si="329"/>
        <v>26.116076800000002</v>
      </c>
    </row>
    <row r="1297" spans="1:14" x14ac:dyDescent="0.25">
      <c r="A1297" s="271">
        <v>8</v>
      </c>
      <c r="B1297" s="272">
        <f>B67*'CO '!$G$1240</f>
        <v>77.716464330751009</v>
      </c>
      <c r="C1297" s="273">
        <f t="shared" si="320"/>
        <v>77.716464330751009</v>
      </c>
      <c r="D1297" s="273">
        <f t="shared" si="330"/>
        <v>77.716464330751009</v>
      </c>
      <c r="E1297" s="273">
        <f t="shared" si="331"/>
        <v>77.716464330751009</v>
      </c>
      <c r="F1297" s="266">
        <f t="shared" si="321"/>
        <v>2</v>
      </c>
      <c r="G1297" s="266">
        <f t="shared" si="322"/>
        <v>2</v>
      </c>
      <c r="H1297" s="266">
        <f t="shared" si="323"/>
        <v>2</v>
      </c>
      <c r="I1297" s="312">
        <f t="shared" si="324"/>
        <v>1.1360000000000001</v>
      </c>
      <c r="J1297" s="312">
        <f t="shared" si="325"/>
        <v>1.4790399999999999</v>
      </c>
      <c r="K1297" s="312">
        <f t="shared" si="326"/>
        <v>1.86944</v>
      </c>
      <c r="L1297" s="204">
        <f t="shared" si="327"/>
        <v>15.869920000000002</v>
      </c>
      <c r="M1297" s="204">
        <f t="shared" si="328"/>
        <v>20.662188799999999</v>
      </c>
      <c r="N1297" s="204">
        <f t="shared" si="329"/>
        <v>26.116076800000002</v>
      </c>
    </row>
    <row r="1298" spans="1:14" x14ac:dyDescent="0.25">
      <c r="A1298" s="271">
        <v>9</v>
      </c>
      <c r="B1298" s="272">
        <f>B68*'CO '!$G$1240</f>
        <v>77.40972296655589</v>
      </c>
      <c r="C1298" s="273">
        <f t="shared" si="320"/>
        <v>77.40972296655589</v>
      </c>
      <c r="D1298" s="273">
        <f t="shared" si="330"/>
        <v>77.40972296655589</v>
      </c>
      <c r="E1298" s="273">
        <f t="shared" si="331"/>
        <v>77.40972296655589</v>
      </c>
      <c r="F1298" s="266">
        <f t="shared" si="321"/>
        <v>2</v>
      </c>
      <c r="G1298" s="266">
        <f t="shared" si="322"/>
        <v>2</v>
      </c>
      <c r="H1298" s="266">
        <f t="shared" si="323"/>
        <v>2</v>
      </c>
      <c r="I1298" s="312">
        <f t="shared" si="324"/>
        <v>1.1360000000000001</v>
      </c>
      <c r="J1298" s="312">
        <f t="shared" si="325"/>
        <v>1.4790399999999999</v>
      </c>
      <c r="K1298" s="312">
        <f t="shared" si="326"/>
        <v>1.86944</v>
      </c>
      <c r="L1298" s="204">
        <f t="shared" si="327"/>
        <v>15.869920000000002</v>
      </c>
      <c r="M1298" s="204">
        <f t="shared" si="328"/>
        <v>20.662188799999999</v>
      </c>
      <c r="N1298" s="204">
        <f t="shared" si="329"/>
        <v>26.116076800000002</v>
      </c>
    </row>
    <row r="1299" spans="1:14" x14ac:dyDescent="0.25">
      <c r="A1299" s="271">
        <v>10</v>
      </c>
      <c r="B1299" s="272">
        <f>B69*'CO '!$G$1240</f>
        <v>77.093779361434912</v>
      </c>
      <c r="C1299" s="273">
        <f t="shared" si="320"/>
        <v>77.093779361434912</v>
      </c>
      <c r="D1299" s="273">
        <f t="shared" si="330"/>
        <v>77.093779361434912</v>
      </c>
      <c r="E1299" s="273">
        <f t="shared" si="331"/>
        <v>77.093779361434912</v>
      </c>
      <c r="F1299" s="266">
        <f t="shared" si="321"/>
        <v>2</v>
      </c>
      <c r="G1299" s="266">
        <f t="shared" si="322"/>
        <v>2</v>
      </c>
      <c r="H1299" s="266">
        <f t="shared" si="323"/>
        <v>2</v>
      </c>
      <c r="I1299" s="312">
        <f t="shared" si="324"/>
        <v>1.1360000000000001</v>
      </c>
      <c r="J1299" s="312">
        <f t="shared" si="325"/>
        <v>1.4790399999999999</v>
      </c>
      <c r="K1299" s="312">
        <f t="shared" si="326"/>
        <v>1.86944</v>
      </c>
      <c r="L1299" s="204">
        <f t="shared" si="327"/>
        <v>15.869920000000002</v>
      </c>
      <c r="M1299" s="204">
        <f t="shared" si="328"/>
        <v>20.662188799999999</v>
      </c>
      <c r="N1299" s="204">
        <f t="shared" si="329"/>
        <v>26.116076800000002</v>
      </c>
    </row>
    <row r="1300" spans="1:14" x14ac:dyDescent="0.25">
      <c r="A1300" s="271">
        <v>11</v>
      </c>
      <c r="B1300" s="272">
        <f>B70*'CO '!$G$1240</f>
        <v>76.76835744816033</v>
      </c>
      <c r="C1300" s="273">
        <f t="shared" si="320"/>
        <v>76.76835744816033</v>
      </c>
      <c r="D1300" s="273">
        <f t="shared" si="330"/>
        <v>76.76835744816033</v>
      </c>
      <c r="E1300" s="273">
        <f t="shared" si="331"/>
        <v>76.76835744816033</v>
      </c>
      <c r="F1300" s="266">
        <f t="shared" si="321"/>
        <v>2</v>
      </c>
      <c r="G1300" s="266">
        <f t="shared" si="322"/>
        <v>2</v>
      </c>
      <c r="H1300" s="266">
        <f t="shared" si="323"/>
        <v>2</v>
      </c>
      <c r="I1300" s="312">
        <f t="shared" si="324"/>
        <v>1.1360000000000001</v>
      </c>
      <c r="J1300" s="312">
        <f t="shared" si="325"/>
        <v>1.4790399999999999</v>
      </c>
      <c r="K1300" s="312">
        <f t="shared" si="326"/>
        <v>1.86944</v>
      </c>
      <c r="L1300" s="204">
        <f t="shared" si="327"/>
        <v>15.869920000000002</v>
      </c>
      <c r="M1300" s="204">
        <f t="shared" si="328"/>
        <v>20.662188799999999</v>
      </c>
      <c r="N1300" s="204">
        <f t="shared" si="329"/>
        <v>26.116076800000002</v>
      </c>
    </row>
    <row r="1301" spans="1:14" x14ac:dyDescent="0.25">
      <c r="A1301" s="271">
        <v>12</v>
      </c>
      <c r="B1301" s="272">
        <f>B71*'CO '!$G$1240</f>
        <v>76.433172877487479</v>
      </c>
      <c r="C1301" s="273">
        <f t="shared" si="320"/>
        <v>76.433172877487479</v>
      </c>
      <c r="D1301" s="273">
        <f t="shared" si="330"/>
        <v>76.433172877487479</v>
      </c>
      <c r="E1301" s="273">
        <f t="shared" si="331"/>
        <v>76.433172877487479</v>
      </c>
      <c r="F1301" s="266">
        <f t="shared" si="321"/>
        <v>2</v>
      </c>
      <c r="G1301" s="266">
        <f t="shared" si="322"/>
        <v>2</v>
      </c>
      <c r="H1301" s="266">
        <f t="shared" si="323"/>
        <v>2</v>
      </c>
      <c r="I1301" s="312">
        <f t="shared" si="324"/>
        <v>1.1360000000000001</v>
      </c>
      <c r="J1301" s="312">
        <f t="shared" si="325"/>
        <v>1.4790399999999999</v>
      </c>
      <c r="K1301" s="312">
        <f t="shared" si="326"/>
        <v>1.86944</v>
      </c>
      <c r="L1301" s="204">
        <f t="shared" si="327"/>
        <v>15.869920000000002</v>
      </c>
      <c r="M1301" s="204">
        <f t="shared" si="328"/>
        <v>20.662188799999999</v>
      </c>
      <c r="N1301" s="204">
        <f t="shared" si="329"/>
        <v>26.116076800000002</v>
      </c>
    </row>
    <row r="1302" spans="1:14" x14ac:dyDescent="0.25">
      <c r="A1302" s="271">
        <v>13</v>
      </c>
      <c r="B1302" s="272">
        <f>B72*'CO '!$G$1240</f>
        <v>76.087932769694461</v>
      </c>
      <c r="C1302" s="273">
        <f t="shared" si="320"/>
        <v>76.087932769694461</v>
      </c>
      <c r="D1302" s="273">
        <f t="shared" si="330"/>
        <v>76.087932769694461</v>
      </c>
      <c r="E1302" s="273">
        <f t="shared" si="331"/>
        <v>76.087932769694461</v>
      </c>
      <c r="F1302" s="266">
        <f t="shared" si="321"/>
        <v>2</v>
      </c>
      <c r="G1302" s="266">
        <f t="shared" si="322"/>
        <v>2</v>
      </c>
      <c r="H1302" s="266">
        <f t="shared" si="323"/>
        <v>2</v>
      </c>
      <c r="I1302" s="312">
        <f t="shared" si="324"/>
        <v>1.1360000000000001</v>
      </c>
      <c r="J1302" s="312">
        <f t="shared" si="325"/>
        <v>1.4790399999999999</v>
      </c>
      <c r="K1302" s="312">
        <f t="shared" si="326"/>
        <v>1.86944</v>
      </c>
      <c r="L1302" s="204">
        <f t="shared" si="327"/>
        <v>15.869920000000002</v>
      </c>
      <c r="M1302" s="204">
        <f t="shared" si="328"/>
        <v>20.662188799999999</v>
      </c>
      <c r="N1302" s="204">
        <f t="shared" si="329"/>
        <v>26.116076800000002</v>
      </c>
    </row>
    <row r="1303" spans="1:14" x14ac:dyDescent="0.25">
      <c r="A1303" s="271">
        <v>14</v>
      </c>
      <c r="B1303" s="272">
        <f>B73*'CO '!$G$1240</f>
        <v>75.732335458667649</v>
      </c>
      <c r="C1303" s="273">
        <f t="shared" si="320"/>
        <v>75.732335458667649</v>
      </c>
      <c r="D1303" s="273">
        <f t="shared" si="330"/>
        <v>75.732335458667649</v>
      </c>
      <c r="E1303" s="273">
        <f t="shared" si="331"/>
        <v>75.732335458667649</v>
      </c>
      <c r="F1303" s="266">
        <f t="shared" si="321"/>
        <v>2</v>
      </c>
      <c r="G1303" s="266">
        <f t="shared" si="322"/>
        <v>2</v>
      </c>
      <c r="H1303" s="266">
        <f t="shared" si="323"/>
        <v>2</v>
      </c>
      <c r="I1303" s="312">
        <f t="shared" si="324"/>
        <v>1.1360000000000001</v>
      </c>
      <c r="J1303" s="312">
        <f t="shared" si="325"/>
        <v>1.4790399999999999</v>
      </c>
      <c r="K1303" s="312">
        <f t="shared" si="326"/>
        <v>1.86944</v>
      </c>
      <c r="L1303" s="204">
        <f t="shared" si="327"/>
        <v>15.869920000000002</v>
      </c>
      <c r="M1303" s="204">
        <f t="shared" si="328"/>
        <v>20.662188799999999</v>
      </c>
      <c r="N1303" s="204">
        <f t="shared" si="329"/>
        <v>26.116076800000002</v>
      </c>
    </row>
    <row r="1304" spans="1:14" x14ac:dyDescent="0.25">
      <c r="A1304" s="271">
        <v>15</v>
      </c>
      <c r="B1304" s="272">
        <f>B74*'CO '!$G$1240</f>
        <v>75.366070228310036</v>
      </c>
      <c r="C1304" s="273">
        <f t="shared" si="320"/>
        <v>75.366070228310036</v>
      </c>
      <c r="D1304" s="273">
        <f t="shared" si="330"/>
        <v>75.366070228310036</v>
      </c>
      <c r="E1304" s="273">
        <f t="shared" si="331"/>
        <v>75.366070228310036</v>
      </c>
      <c r="F1304" s="266">
        <f t="shared" si="321"/>
        <v>2</v>
      </c>
      <c r="G1304" s="266">
        <f t="shared" si="322"/>
        <v>2</v>
      </c>
      <c r="H1304" s="266">
        <f t="shared" si="323"/>
        <v>2</v>
      </c>
      <c r="I1304" s="312">
        <f t="shared" si="324"/>
        <v>1.1360000000000001</v>
      </c>
      <c r="J1304" s="312">
        <f t="shared" si="325"/>
        <v>1.4790399999999999</v>
      </c>
      <c r="K1304" s="312">
        <f t="shared" si="326"/>
        <v>1.86944</v>
      </c>
      <c r="L1304" s="204">
        <f t="shared" si="327"/>
        <v>15.869920000000002</v>
      </c>
      <c r="M1304" s="204">
        <f t="shared" si="328"/>
        <v>20.662188799999999</v>
      </c>
      <c r="N1304" s="204">
        <f t="shared" si="329"/>
        <v>26.116076800000002</v>
      </c>
    </row>
    <row r="1305" spans="1:14" x14ac:dyDescent="0.25">
      <c r="A1305" s="271">
        <v>16</v>
      </c>
      <c r="B1305" s="272">
        <f>B75*'CO '!$G$1240</f>
        <v>75.129603556580236</v>
      </c>
      <c r="C1305" s="273">
        <f t="shared" si="320"/>
        <v>75.129603556580236</v>
      </c>
      <c r="D1305" s="273">
        <f t="shared" si="330"/>
        <v>75.129603556580236</v>
      </c>
      <c r="E1305" s="273">
        <f t="shared" si="331"/>
        <v>75.129603556580236</v>
      </c>
      <c r="F1305" s="266">
        <f t="shared" si="321"/>
        <v>2</v>
      </c>
      <c r="G1305" s="266">
        <f t="shared" si="322"/>
        <v>2</v>
      </c>
      <c r="H1305" s="266">
        <f t="shared" si="323"/>
        <v>2</v>
      </c>
      <c r="I1305" s="312">
        <f t="shared" si="324"/>
        <v>1.1360000000000001</v>
      </c>
      <c r="J1305" s="312">
        <f t="shared" si="325"/>
        <v>1.4790399999999999</v>
      </c>
      <c r="K1305" s="312">
        <f t="shared" si="326"/>
        <v>1.86944</v>
      </c>
      <c r="L1305" s="204">
        <f t="shared" si="327"/>
        <v>15.869920000000002</v>
      </c>
      <c r="M1305" s="204">
        <f t="shared" si="328"/>
        <v>20.662188799999999</v>
      </c>
      <c r="N1305" s="204">
        <f t="shared" si="329"/>
        <v>26.116076800000002</v>
      </c>
    </row>
    <row r="1306" spans="1:14" x14ac:dyDescent="0.25">
      <c r="A1306" s="271">
        <v>17</v>
      </c>
      <c r="B1306" s="272">
        <f>B76*'CO '!$G$1240</f>
        <v>74.745256369159989</v>
      </c>
      <c r="C1306" s="273">
        <f t="shared" si="320"/>
        <v>74.745256369159989</v>
      </c>
      <c r="D1306" s="273">
        <f t="shared" si="330"/>
        <v>74.745256369159989</v>
      </c>
      <c r="E1306" s="273">
        <f t="shared" si="331"/>
        <v>74.745256369159989</v>
      </c>
      <c r="F1306" s="266">
        <f t="shared" si="321"/>
        <v>2</v>
      </c>
      <c r="G1306" s="266">
        <f t="shared" si="322"/>
        <v>2</v>
      </c>
      <c r="H1306" s="266">
        <f t="shared" si="323"/>
        <v>2</v>
      </c>
      <c r="I1306" s="312">
        <f t="shared" si="324"/>
        <v>1.1360000000000001</v>
      </c>
      <c r="J1306" s="312">
        <f t="shared" si="325"/>
        <v>1.4790399999999999</v>
      </c>
      <c r="K1306" s="312">
        <f t="shared" si="326"/>
        <v>1.86944</v>
      </c>
      <c r="L1306" s="204">
        <f t="shared" si="327"/>
        <v>15.869920000000002</v>
      </c>
      <c r="M1306" s="204">
        <f t="shared" si="328"/>
        <v>20.662188799999999</v>
      </c>
      <c r="N1306" s="204">
        <f t="shared" si="329"/>
        <v>26.116076800000002</v>
      </c>
    </row>
    <row r="1307" spans="1:14" x14ac:dyDescent="0.25">
      <c r="A1307" s="271">
        <v>18</v>
      </c>
      <c r="B1307" s="272">
        <f>B77*'CO '!$G$1240</f>
        <v>74.349378766117155</v>
      </c>
      <c r="C1307" s="273">
        <f t="shared" si="320"/>
        <v>74.349378766117155</v>
      </c>
      <c r="D1307" s="273">
        <f t="shared" si="330"/>
        <v>74.349378766117155</v>
      </c>
      <c r="E1307" s="273">
        <f t="shared" si="331"/>
        <v>74.349378766117155</v>
      </c>
      <c r="F1307" s="266">
        <f t="shared" si="321"/>
        <v>2</v>
      </c>
      <c r="G1307" s="266">
        <f t="shared" si="322"/>
        <v>2</v>
      </c>
      <c r="H1307" s="266">
        <f t="shared" si="323"/>
        <v>2</v>
      </c>
      <c r="I1307" s="312">
        <f t="shared" si="324"/>
        <v>1.1360000000000001</v>
      </c>
      <c r="J1307" s="312">
        <f t="shared" si="325"/>
        <v>1.4790399999999999</v>
      </c>
      <c r="K1307" s="312">
        <f t="shared" si="326"/>
        <v>1.86944</v>
      </c>
      <c r="L1307" s="204">
        <f t="shared" si="327"/>
        <v>15.869920000000002</v>
      </c>
      <c r="M1307" s="204">
        <f t="shared" si="328"/>
        <v>20.662188799999999</v>
      </c>
      <c r="N1307" s="204">
        <f t="shared" si="329"/>
        <v>26.116076800000002</v>
      </c>
    </row>
    <row r="1308" spans="1:14" x14ac:dyDescent="0.25">
      <c r="A1308" s="271">
        <v>19</v>
      </c>
      <c r="B1308" s="272">
        <f>B78*'CO '!$G$1240</f>
        <v>73.941624834983031</v>
      </c>
      <c r="C1308" s="273">
        <f t="shared" si="320"/>
        <v>73.941624834983031</v>
      </c>
      <c r="D1308" s="273">
        <f t="shared" si="330"/>
        <v>73.941624834983031</v>
      </c>
      <c r="E1308" s="273">
        <f t="shared" si="331"/>
        <v>73.941624834983031</v>
      </c>
      <c r="F1308" s="266">
        <f t="shared" si="321"/>
        <v>2</v>
      </c>
      <c r="G1308" s="266">
        <f t="shared" si="322"/>
        <v>2</v>
      </c>
      <c r="H1308" s="266">
        <f t="shared" si="323"/>
        <v>2</v>
      </c>
      <c r="I1308" s="312">
        <f t="shared" si="324"/>
        <v>1.1360000000000001</v>
      </c>
      <c r="J1308" s="312">
        <f t="shared" si="325"/>
        <v>1.4790399999999999</v>
      </c>
      <c r="K1308" s="312">
        <f t="shared" si="326"/>
        <v>1.86944</v>
      </c>
      <c r="L1308" s="204">
        <f t="shared" si="327"/>
        <v>15.869920000000002</v>
      </c>
      <c r="M1308" s="204">
        <f t="shared" si="328"/>
        <v>20.662188799999999</v>
      </c>
      <c r="N1308" s="204">
        <f t="shared" si="329"/>
        <v>26.116076800000002</v>
      </c>
    </row>
    <row r="1309" spans="1:14" x14ac:dyDescent="0.25">
      <c r="A1309" s="271">
        <v>20</v>
      </c>
      <c r="B1309" s="272">
        <f>B79*'CO '!$G$1240</f>
        <v>73.521638285914861</v>
      </c>
      <c r="C1309" s="273">
        <f t="shared" si="320"/>
        <v>73.521638285914861</v>
      </c>
      <c r="D1309" s="273">
        <f t="shared" si="330"/>
        <v>73.521638285914861</v>
      </c>
      <c r="E1309" s="273">
        <f t="shared" si="331"/>
        <v>73.521638285914861</v>
      </c>
      <c r="F1309" s="266">
        <f t="shared" si="321"/>
        <v>2</v>
      </c>
      <c r="G1309" s="266">
        <f t="shared" si="322"/>
        <v>2</v>
      </c>
      <c r="H1309" s="266">
        <f t="shared" si="323"/>
        <v>2</v>
      </c>
      <c r="I1309" s="312">
        <f t="shared" si="324"/>
        <v>1.1360000000000001</v>
      </c>
      <c r="J1309" s="312">
        <f t="shared" si="325"/>
        <v>1.4790399999999999</v>
      </c>
      <c r="K1309" s="312">
        <f t="shared" si="326"/>
        <v>1.86944</v>
      </c>
      <c r="L1309" s="204">
        <f t="shared" si="327"/>
        <v>15.869920000000002</v>
      </c>
      <c r="M1309" s="204">
        <f t="shared" si="328"/>
        <v>20.662188799999999</v>
      </c>
      <c r="N1309" s="204">
        <f t="shared" si="329"/>
        <v>26.116076800000002</v>
      </c>
    </row>
    <row r="1310" spans="1:14" x14ac:dyDescent="0.25">
      <c r="A1310" s="271">
        <v>21</v>
      </c>
      <c r="B1310" s="272">
        <f>B80*'CO '!$G$1240</f>
        <v>73.089052140374662</v>
      </c>
      <c r="C1310" s="273">
        <f t="shared" si="320"/>
        <v>73.089052140374662</v>
      </c>
      <c r="D1310" s="273">
        <f t="shared" si="330"/>
        <v>73.089052140374662</v>
      </c>
      <c r="E1310" s="273">
        <f t="shared" si="331"/>
        <v>73.089052140374662</v>
      </c>
      <c r="F1310" s="266">
        <f t="shared" si="321"/>
        <v>2</v>
      </c>
      <c r="G1310" s="266">
        <f t="shared" si="322"/>
        <v>2</v>
      </c>
      <c r="H1310" s="266">
        <f t="shared" si="323"/>
        <v>2</v>
      </c>
      <c r="I1310" s="312">
        <f t="shared" si="324"/>
        <v>1.1360000000000001</v>
      </c>
      <c r="J1310" s="312">
        <f t="shared" si="325"/>
        <v>1.4790399999999999</v>
      </c>
      <c r="K1310" s="312">
        <f t="shared" si="326"/>
        <v>1.86944</v>
      </c>
      <c r="L1310" s="204">
        <f t="shared" si="327"/>
        <v>15.869920000000002</v>
      </c>
      <c r="M1310" s="204">
        <f t="shared" si="328"/>
        <v>20.662188799999999</v>
      </c>
      <c r="N1310" s="204">
        <f t="shared" si="329"/>
        <v>26.116076800000002</v>
      </c>
    </row>
    <row r="1311" spans="1:14" x14ac:dyDescent="0.25">
      <c r="A1311" s="271">
        <v>22</v>
      </c>
      <c r="B1311" s="272">
        <f>B81*'CO '!$G$1240</f>
        <v>72.643488410468265</v>
      </c>
      <c r="C1311" s="273">
        <f t="shared" si="320"/>
        <v>72.643488410468265</v>
      </c>
      <c r="D1311" s="273">
        <f t="shared" si="330"/>
        <v>72.643488410468265</v>
      </c>
      <c r="E1311" s="273">
        <f t="shared" si="331"/>
        <v>72.643488410468265</v>
      </c>
      <c r="F1311" s="266">
        <f t="shared" si="321"/>
        <v>2</v>
      </c>
      <c r="G1311" s="266">
        <f t="shared" si="322"/>
        <v>2</v>
      </c>
      <c r="H1311" s="266">
        <f t="shared" si="323"/>
        <v>2</v>
      </c>
      <c r="I1311" s="312">
        <f t="shared" si="324"/>
        <v>1.1360000000000001</v>
      </c>
      <c r="J1311" s="312">
        <f t="shared" si="325"/>
        <v>1.4790399999999999</v>
      </c>
      <c r="K1311" s="312">
        <f t="shared" si="326"/>
        <v>1.86944</v>
      </c>
      <c r="L1311" s="204">
        <f t="shared" si="327"/>
        <v>15.869920000000002</v>
      </c>
      <c r="M1311" s="204">
        <f t="shared" si="328"/>
        <v>20.662188799999999</v>
      </c>
      <c r="N1311" s="204">
        <f t="shared" si="329"/>
        <v>26.116076800000002</v>
      </c>
    </row>
    <row r="1312" spans="1:14" x14ac:dyDescent="0.25">
      <c r="A1312" s="271">
        <v>23</v>
      </c>
      <c r="B1312" s="272">
        <f>B82*'CO '!$G$1240</f>
        <v>72.184557768664661</v>
      </c>
      <c r="C1312" s="273">
        <f t="shared" si="320"/>
        <v>72.184557768664661</v>
      </c>
      <c r="D1312" s="273">
        <f t="shared" si="330"/>
        <v>72.184557768664661</v>
      </c>
      <c r="E1312" s="273">
        <f t="shared" si="331"/>
        <v>72.184557768664661</v>
      </c>
      <c r="F1312" s="266">
        <f t="shared" si="321"/>
        <v>2</v>
      </c>
      <c r="G1312" s="266">
        <f t="shared" si="322"/>
        <v>2</v>
      </c>
      <c r="H1312" s="266">
        <f t="shared" si="323"/>
        <v>2</v>
      </c>
      <c r="I1312" s="312">
        <f t="shared" si="324"/>
        <v>1.1360000000000001</v>
      </c>
      <c r="J1312" s="312">
        <f t="shared" si="325"/>
        <v>1.4790399999999999</v>
      </c>
      <c r="K1312" s="312">
        <f t="shared" si="326"/>
        <v>1.86944</v>
      </c>
      <c r="L1312" s="204">
        <f t="shared" si="327"/>
        <v>15.869920000000002</v>
      </c>
      <c r="M1312" s="204">
        <f t="shared" si="328"/>
        <v>20.662188799999999</v>
      </c>
      <c r="N1312" s="204">
        <f t="shared" si="329"/>
        <v>26.116076800000002</v>
      </c>
    </row>
    <row r="1313" spans="1:14" x14ac:dyDescent="0.25">
      <c r="A1313" s="271">
        <v>24</v>
      </c>
      <c r="B1313" s="272">
        <f>B83*'CO '!$G$1240</f>
        <v>71.711859207606949</v>
      </c>
      <c r="C1313" s="273">
        <f t="shared" si="320"/>
        <v>71.711859207606949</v>
      </c>
      <c r="D1313" s="273">
        <f t="shared" si="330"/>
        <v>71.711859207606949</v>
      </c>
      <c r="E1313" s="273">
        <f t="shared" si="331"/>
        <v>71.711859207606949</v>
      </c>
      <c r="F1313" s="266">
        <f t="shared" si="321"/>
        <v>2</v>
      </c>
      <c r="G1313" s="266">
        <f t="shared" si="322"/>
        <v>2</v>
      </c>
      <c r="H1313" s="266">
        <f t="shared" si="323"/>
        <v>2</v>
      </c>
      <c r="I1313" s="312">
        <f t="shared" si="324"/>
        <v>1.1360000000000001</v>
      </c>
      <c r="J1313" s="312">
        <f t="shared" si="325"/>
        <v>1.4790399999999999</v>
      </c>
      <c r="K1313" s="312">
        <f t="shared" si="326"/>
        <v>1.86944</v>
      </c>
      <c r="L1313" s="204">
        <f t="shared" si="327"/>
        <v>15.869920000000002</v>
      </c>
      <c r="M1313" s="204">
        <f t="shared" si="328"/>
        <v>20.662188799999999</v>
      </c>
      <c r="N1313" s="204">
        <f t="shared" si="329"/>
        <v>26.116076800000002</v>
      </c>
    </row>
    <row r="1314" spans="1:14" x14ac:dyDescent="0.25">
      <c r="A1314" s="271">
        <v>25</v>
      </c>
      <c r="B1314" s="272">
        <f>B84*'CO '!$G$1240</f>
        <v>71.224979689717514</v>
      </c>
      <c r="C1314" s="273">
        <f t="shared" si="320"/>
        <v>71.224979689717514</v>
      </c>
      <c r="D1314" s="273">
        <f t="shared" si="330"/>
        <v>71.224979689717514</v>
      </c>
      <c r="E1314" s="273">
        <f t="shared" si="331"/>
        <v>71.224979689717514</v>
      </c>
      <c r="F1314" s="266">
        <f t="shared" si="321"/>
        <v>2</v>
      </c>
      <c r="G1314" s="266">
        <f t="shared" si="322"/>
        <v>2</v>
      </c>
      <c r="H1314" s="266">
        <f t="shared" si="323"/>
        <v>2</v>
      </c>
      <c r="I1314" s="312">
        <f t="shared" si="324"/>
        <v>1.1360000000000001</v>
      </c>
      <c r="J1314" s="312">
        <f t="shared" si="325"/>
        <v>1.4790399999999999</v>
      </c>
      <c r="K1314" s="312">
        <f t="shared" si="326"/>
        <v>1.86944</v>
      </c>
      <c r="L1314" s="204">
        <f t="shared" si="327"/>
        <v>15.869920000000002</v>
      </c>
      <c r="M1314" s="204">
        <f t="shared" si="328"/>
        <v>20.662188799999999</v>
      </c>
      <c r="N1314" s="204">
        <f t="shared" si="329"/>
        <v>26.116076800000002</v>
      </c>
    </row>
    <row r="1315" spans="1:14" x14ac:dyDescent="0.25">
      <c r="A1315" s="271">
        <v>26</v>
      </c>
      <c r="B1315" s="272">
        <f>B85*'CO '!$G$1240</f>
        <v>70.908630159240829</v>
      </c>
      <c r="C1315" s="273">
        <f t="shared" si="320"/>
        <v>70.908630159240829</v>
      </c>
      <c r="D1315" s="273">
        <f t="shared" si="330"/>
        <v>70.908630159240829</v>
      </c>
      <c r="E1315" s="273">
        <f t="shared" si="331"/>
        <v>70.908630159240829</v>
      </c>
      <c r="F1315" s="266">
        <f t="shared" si="321"/>
        <v>2</v>
      </c>
      <c r="G1315" s="266">
        <f t="shared" si="322"/>
        <v>2</v>
      </c>
      <c r="H1315" s="266">
        <f t="shared" si="323"/>
        <v>2</v>
      </c>
      <c r="I1315" s="312">
        <f t="shared" si="324"/>
        <v>1.1360000000000001</v>
      </c>
      <c r="J1315" s="312">
        <f t="shared" si="325"/>
        <v>1.4790399999999999</v>
      </c>
      <c r="K1315" s="312">
        <f t="shared" si="326"/>
        <v>1.86944</v>
      </c>
      <c r="L1315" s="204">
        <f t="shared" si="327"/>
        <v>15.869920000000002</v>
      </c>
      <c r="M1315" s="204">
        <f t="shared" si="328"/>
        <v>20.662188799999999</v>
      </c>
      <c r="N1315" s="204">
        <f t="shared" si="329"/>
        <v>26.116076800000002</v>
      </c>
    </row>
    <row r="1316" spans="1:14" x14ac:dyDescent="0.25">
      <c r="A1316" s="271">
        <v>27</v>
      </c>
      <c r="B1316" s="272">
        <f>B86*'CO '!$G$1240</f>
        <v>70.397653769900401</v>
      </c>
      <c r="C1316" s="273">
        <f t="shared" si="320"/>
        <v>70.397653769900401</v>
      </c>
      <c r="D1316" s="273">
        <f t="shared" si="330"/>
        <v>70.397653769900401</v>
      </c>
      <c r="E1316" s="273">
        <f t="shared" si="331"/>
        <v>70.397653769900401</v>
      </c>
      <c r="F1316" s="266">
        <f t="shared" si="321"/>
        <v>2</v>
      </c>
      <c r="G1316" s="266">
        <f t="shared" si="322"/>
        <v>2</v>
      </c>
      <c r="H1316" s="266">
        <f t="shared" si="323"/>
        <v>2</v>
      </c>
      <c r="I1316" s="312">
        <f t="shared" si="324"/>
        <v>1.1360000000000001</v>
      </c>
      <c r="J1316" s="312">
        <f t="shared" si="325"/>
        <v>1.4790399999999999</v>
      </c>
      <c r="K1316" s="312">
        <f t="shared" si="326"/>
        <v>1.86944</v>
      </c>
      <c r="L1316" s="204">
        <f t="shared" si="327"/>
        <v>15.869920000000002</v>
      </c>
      <c r="M1316" s="204">
        <f t="shared" si="328"/>
        <v>20.662188799999999</v>
      </c>
      <c r="N1316" s="204">
        <f t="shared" si="329"/>
        <v>26.116076800000002</v>
      </c>
    </row>
    <row r="1317" spans="1:14" x14ac:dyDescent="0.25">
      <c r="A1317" s="271">
        <v>28</v>
      </c>
      <c r="B1317" s="272">
        <f>B87*'CO '!$G$1240</f>
        <v>69.871348088879756</v>
      </c>
      <c r="C1317" s="273">
        <f t="shared" si="320"/>
        <v>69.871348088879756</v>
      </c>
      <c r="D1317" s="273">
        <f t="shared" si="330"/>
        <v>69.871348088879756</v>
      </c>
      <c r="E1317" s="273">
        <f t="shared" si="331"/>
        <v>69.871348088879756</v>
      </c>
      <c r="F1317" s="266">
        <f t="shared" si="321"/>
        <v>2</v>
      </c>
      <c r="G1317" s="266">
        <f t="shared" si="322"/>
        <v>2</v>
      </c>
      <c r="H1317" s="266">
        <f t="shared" si="323"/>
        <v>2</v>
      </c>
      <c r="I1317" s="312">
        <f t="shared" si="324"/>
        <v>1.1360000000000001</v>
      </c>
      <c r="J1317" s="312">
        <f t="shared" si="325"/>
        <v>1.4790399999999999</v>
      </c>
      <c r="K1317" s="312">
        <f t="shared" si="326"/>
        <v>1.86944</v>
      </c>
      <c r="L1317" s="204">
        <f t="shared" si="327"/>
        <v>15.869920000000002</v>
      </c>
      <c r="M1317" s="204">
        <f t="shared" si="328"/>
        <v>20.662188799999999</v>
      </c>
      <c r="N1317" s="204">
        <f t="shared" si="329"/>
        <v>26.116076800000002</v>
      </c>
    </row>
    <row r="1318" spans="1:14" x14ac:dyDescent="0.25">
      <c r="A1318" s="271">
        <v>29</v>
      </c>
      <c r="B1318" s="272">
        <f>B88*'CO '!$G$1240</f>
        <v>69.329253237428503</v>
      </c>
      <c r="C1318" s="273">
        <f t="shared" si="320"/>
        <v>69.329253237428503</v>
      </c>
      <c r="D1318" s="273">
        <f t="shared" si="330"/>
        <v>69.329253237428503</v>
      </c>
      <c r="E1318" s="273">
        <f t="shared" si="331"/>
        <v>69.329253237428503</v>
      </c>
      <c r="F1318" s="266">
        <f t="shared" si="321"/>
        <v>2</v>
      </c>
      <c r="G1318" s="266">
        <f t="shared" si="322"/>
        <v>2</v>
      </c>
      <c r="H1318" s="266">
        <f t="shared" si="323"/>
        <v>2</v>
      </c>
      <c r="I1318" s="312">
        <f t="shared" si="324"/>
        <v>1.1360000000000001</v>
      </c>
      <c r="J1318" s="312">
        <f t="shared" si="325"/>
        <v>1.4790399999999999</v>
      </c>
      <c r="K1318" s="312">
        <f t="shared" si="326"/>
        <v>1.86944</v>
      </c>
      <c r="L1318" s="204">
        <f t="shared" si="327"/>
        <v>15.869920000000002</v>
      </c>
      <c r="M1318" s="204">
        <f t="shared" si="328"/>
        <v>20.662188799999999</v>
      </c>
      <c r="N1318" s="204">
        <f t="shared" si="329"/>
        <v>26.116076800000002</v>
      </c>
    </row>
    <row r="1319" spans="1:14" x14ac:dyDescent="0.25">
      <c r="A1319" s="271">
        <v>30</v>
      </c>
      <c r="B1319" s="272">
        <f>B89*'CO '!$G$1240</f>
        <v>68.770895540433713</v>
      </c>
      <c r="C1319" s="273">
        <f t="shared" si="320"/>
        <v>68.770895540433713</v>
      </c>
      <c r="D1319" s="273">
        <f t="shared" si="330"/>
        <v>68.770895540433713</v>
      </c>
      <c r="E1319" s="273">
        <f t="shared" si="331"/>
        <v>68.770895540433713</v>
      </c>
      <c r="F1319" s="266">
        <f t="shared" si="321"/>
        <v>2</v>
      </c>
      <c r="G1319" s="266">
        <f t="shared" si="322"/>
        <v>2</v>
      </c>
      <c r="H1319" s="266">
        <f t="shared" si="323"/>
        <v>2</v>
      </c>
      <c r="I1319" s="312">
        <f t="shared" si="324"/>
        <v>1.1360000000000001</v>
      </c>
      <c r="J1319" s="312">
        <f t="shared" si="325"/>
        <v>1.4790399999999999</v>
      </c>
      <c r="K1319" s="312">
        <f t="shared" si="326"/>
        <v>1.86944</v>
      </c>
      <c r="L1319" s="204">
        <f t="shared" si="327"/>
        <v>15.869920000000002</v>
      </c>
      <c r="M1319" s="204">
        <f t="shared" si="328"/>
        <v>20.662188799999999</v>
      </c>
      <c r="N1319" s="204">
        <f t="shared" si="329"/>
        <v>26.116076800000002</v>
      </c>
    </row>
    <row r="1320" spans="1:14" x14ac:dyDescent="0.25">
      <c r="A1320" s="271">
        <v>31</v>
      </c>
      <c r="B1320" s="272">
        <f>B90*'CO '!$G$1240</f>
        <v>68.195787112529075</v>
      </c>
      <c r="C1320" s="273">
        <f t="shared" si="320"/>
        <v>68.195787112529075</v>
      </c>
      <c r="D1320" s="273">
        <f>C1320</f>
        <v>68.195787112529075</v>
      </c>
      <c r="E1320" s="273">
        <f>D1320</f>
        <v>68.195787112529075</v>
      </c>
      <c r="F1320" s="266">
        <f t="shared" si="321"/>
        <v>2</v>
      </c>
      <c r="G1320" s="266">
        <f t="shared" si="322"/>
        <v>2</v>
      </c>
      <c r="H1320" s="266">
        <f t="shared" si="323"/>
        <v>2</v>
      </c>
      <c r="I1320" s="312">
        <f>0*(F1320)^3-0.0005*(F1320)^2+0.059*(F1320)+1.02</f>
        <v>1.1360000000000001</v>
      </c>
      <c r="J1320" s="312">
        <f>0.00003*(G1320)^3+0.0002*(G1320)^2+0.044*(G1320)+1.39</f>
        <v>1.4790399999999999</v>
      </c>
      <c r="K1320" s="312">
        <f>0.00003*(H1320)^3-0.0002*(H1320)^2+0.05*(H1320)+1.77</f>
        <v>1.86944</v>
      </c>
      <c r="L1320" s="204">
        <f t="shared" ref="L1320:N1321" si="332">I1320*$B$1248</f>
        <v>15.869920000000002</v>
      </c>
      <c r="M1320" s="204">
        <f t="shared" si="332"/>
        <v>20.662188799999999</v>
      </c>
      <c r="N1320" s="204">
        <f t="shared" si="332"/>
        <v>26.116076800000002</v>
      </c>
    </row>
    <row r="1321" spans="1:14" x14ac:dyDescent="0.25">
      <c r="A1321" s="271">
        <v>32</v>
      </c>
      <c r="B1321" s="272">
        <f>B91*'CO '!$G$1240</f>
        <v>67.603425431787315</v>
      </c>
      <c r="C1321" s="273">
        <f t="shared" si="320"/>
        <v>67.603425431787315</v>
      </c>
      <c r="D1321" s="273">
        <f>C1321</f>
        <v>67.603425431787315</v>
      </c>
      <c r="E1321" s="273">
        <f>D1321</f>
        <v>67.603425431787315</v>
      </c>
      <c r="F1321" s="266">
        <f t="shared" si="321"/>
        <v>2</v>
      </c>
      <c r="G1321" s="266">
        <f t="shared" si="322"/>
        <v>2</v>
      </c>
      <c r="H1321" s="266">
        <f t="shared" si="323"/>
        <v>2</v>
      </c>
      <c r="I1321" s="312">
        <f>0*(F1321)^3-0.0005*(F1321)^2+0.059*(F1321)+1.02</f>
        <v>1.1360000000000001</v>
      </c>
      <c r="J1321" s="312">
        <f>0.00003*(G1321)^3+0.0002*(G1321)^2+0.044*(G1321)+1.39</f>
        <v>1.4790399999999999</v>
      </c>
      <c r="K1321" s="312">
        <f>0.00003*(H1321)^3-0.0002*(H1321)^2+0.05*(H1321)+1.77</f>
        <v>1.86944</v>
      </c>
      <c r="L1321" s="204">
        <f t="shared" si="332"/>
        <v>15.869920000000002</v>
      </c>
      <c r="M1321" s="204">
        <f t="shared" si="332"/>
        <v>20.662188799999999</v>
      </c>
      <c r="N1321" s="204">
        <f t="shared" si="332"/>
        <v>26.116076800000002</v>
      </c>
    </row>
    <row r="1322" spans="1:14" x14ac:dyDescent="0.25">
      <c r="A1322" s="239" t="s">
        <v>44</v>
      </c>
      <c r="B1322" s="239"/>
      <c r="C1322" s="19"/>
    </row>
    <row r="1323" spans="1:14" x14ac:dyDescent="0.25">
      <c r="A1323" t="s">
        <v>290</v>
      </c>
      <c r="C1323" t="s">
        <v>259</v>
      </c>
    </row>
    <row r="1324" spans="1:14" x14ac:dyDescent="0.25">
      <c r="A1324" s="43" t="s">
        <v>228</v>
      </c>
      <c r="B1324" s="43">
        <f>B1286</f>
        <v>13.97</v>
      </c>
    </row>
    <row r="1325" spans="1:14" x14ac:dyDescent="0.25">
      <c r="A1325" s="43" t="s">
        <v>99</v>
      </c>
      <c r="B1325" s="169" t="str">
        <f>B1249</f>
        <v>P</v>
      </c>
      <c r="C1325" s="575" t="s">
        <v>229</v>
      </c>
      <c r="D1325" s="575"/>
      <c r="E1325" s="575"/>
      <c r="F1325" s="575" t="s">
        <v>230</v>
      </c>
      <c r="G1325" s="576"/>
      <c r="H1325" s="576"/>
      <c r="I1325" s="575" t="s">
        <v>231</v>
      </c>
      <c r="J1325" s="575"/>
      <c r="K1325" s="575"/>
      <c r="L1325" s="575" t="s">
        <v>240</v>
      </c>
      <c r="M1325" s="575"/>
      <c r="N1325" s="575"/>
    </row>
    <row r="1326" spans="1:14" x14ac:dyDescent="0.25">
      <c r="A1326" s="35" t="s">
        <v>18</v>
      </c>
      <c r="B1326" s="95" t="s">
        <v>20</v>
      </c>
      <c r="C1326" s="270" t="s">
        <v>233</v>
      </c>
      <c r="D1326" s="270" t="s">
        <v>234</v>
      </c>
      <c r="E1326" s="270" t="s">
        <v>235</v>
      </c>
      <c r="F1326" s="270" t="s">
        <v>233</v>
      </c>
      <c r="G1326" s="270" t="s">
        <v>234</v>
      </c>
      <c r="H1326" s="270" t="s">
        <v>235</v>
      </c>
      <c r="I1326" s="270" t="s">
        <v>233</v>
      </c>
      <c r="J1326" s="270" t="s">
        <v>234</v>
      </c>
      <c r="K1326" s="270" t="s">
        <v>235</v>
      </c>
      <c r="L1326" s="270" t="s">
        <v>233</v>
      </c>
      <c r="M1326" s="270" t="s">
        <v>234</v>
      </c>
      <c r="N1326" s="270" t="s">
        <v>235</v>
      </c>
    </row>
    <row r="1327" spans="1:14" x14ac:dyDescent="0.25">
      <c r="A1327" s="271">
        <v>0</v>
      </c>
      <c r="B1327" s="272">
        <f>B96*'CO '!$G$1240</f>
        <v>61.17647058823529</v>
      </c>
      <c r="C1327" s="273">
        <f>B1327</f>
        <v>61.17647058823529</v>
      </c>
      <c r="D1327" s="273">
        <f>C1327</f>
        <v>61.17647058823529</v>
      </c>
      <c r="E1327" s="273">
        <f>D1327</f>
        <v>61.17647058823529</v>
      </c>
      <c r="F1327" s="266">
        <f t="shared" ref="F1327:F1357" si="333">IF(C1327&gt;$B$1233,2,IF(C1327&gt;$B$1234,3,IF(C1327&gt;$B$1235,4,IF(C1327&gt;$B$1236,5,IF(C1327&gt;$B$1237,6,IF(C1327&gt;$B$1238,7,IF(C1327&gt;$B$1239,8,IF(C1327&gt;$B$1240,9,IF(C1327&gt;$B$1241,10,IF(C1327&gt;$B$1242,11,IF(C1327&gt;$B$1243,12,12)))))))))))</f>
        <v>5</v>
      </c>
      <c r="G1327" s="266">
        <f t="shared" ref="G1327:G1357" si="334">IF(D1327&gt;$C$1233,2,IF(D1327&gt;$C$1234,3,IF(D1327&gt;$C$1235,4,IF(D1327&gt;$C$1236,5,IF(D1327&gt;$C$1237,6,IF(D1327&gt;$C$1238,7,IF(D1327&gt;$C$1239,8,IF(D1327&gt;$C$1240,9,IF(D1327&gt;$C$1241,10,IF(D1327&gt;$C$1242,11,IF(D1327&gt;$C$1243,12,12)))))))))))</f>
        <v>2</v>
      </c>
      <c r="H1327" s="266">
        <f t="shared" ref="H1327:H1357" si="335">IF(E1327&gt;$D$1233,2,IF(E1327&gt;$D$1234,3,IF(E1327&gt;$D$1235,4,IF(E1327&gt;$D$1236,5,IF(E1327&gt;$D$1237,6,IF(E1327&gt;$D$1238,7,IF(E1327&gt;$D$1239,8,IF(E1327&gt;$D$1240,9,IF(E1327&gt;$D$1241,10,IF(E1327&gt;$D$1242,11,IF(E1327&gt;$D$1243,12,12)))))))))))</f>
        <v>2</v>
      </c>
      <c r="I1327" s="312">
        <f>0*(F1327)^3-0.0005*(F1327)^2+0.059*(F1327)+1.02</f>
        <v>1.3025</v>
      </c>
      <c r="J1327" s="312">
        <f>0.00003*(G1327)^3+0.0002*(G1327)^2+0.044*(G1327)+1.39</f>
        <v>1.4790399999999999</v>
      </c>
      <c r="K1327" s="312">
        <f>0.00003*(H1327)^3-0.0002*(H1327)^2+0.05*(H1327)+1.77</f>
        <v>1.86944</v>
      </c>
      <c r="L1327" s="204">
        <f>I1327*$B$1248</f>
        <v>18.195924999999999</v>
      </c>
      <c r="M1327" s="204">
        <f>J1327*$B$1248</f>
        <v>20.662188799999999</v>
      </c>
      <c r="N1327" s="204">
        <f>K1327*$B$1248</f>
        <v>26.116076800000002</v>
      </c>
    </row>
    <row r="1328" spans="1:14" x14ac:dyDescent="0.25">
      <c r="A1328" s="271">
        <v>1</v>
      </c>
      <c r="B1328" s="272">
        <f>B97*'CO '!$G$1240</f>
        <v>61.17647058823529</v>
      </c>
      <c r="C1328" s="273">
        <f t="shared" ref="C1328:C1359" si="336">B1328</f>
        <v>61.17647058823529</v>
      </c>
      <c r="D1328" s="311">
        <f>C1328</f>
        <v>61.17647058823529</v>
      </c>
      <c r="E1328" s="311">
        <f>D1328</f>
        <v>61.17647058823529</v>
      </c>
      <c r="F1328" s="266">
        <f t="shared" si="333"/>
        <v>5</v>
      </c>
      <c r="G1328" s="266">
        <f t="shared" si="334"/>
        <v>2</v>
      </c>
      <c r="H1328" s="266">
        <f t="shared" si="335"/>
        <v>2</v>
      </c>
      <c r="I1328" s="312">
        <f t="shared" ref="I1328:I1357" si="337">0*(F1328)^3-0.0005*(F1328)^2+0.059*(F1328)+1.02</f>
        <v>1.3025</v>
      </c>
      <c r="J1328" s="312">
        <f t="shared" ref="J1328:J1357" si="338">0.00003*(G1328)^3+0.0002*(G1328)^2+0.044*(G1328)+1.39</f>
        <v>1.4790399999999999</v>
      </c>
      <c r="K1328" s="312">
        <f t="shared" ref="K1328:K1357" si="339">0.00003*(H1328)^3-0.0002*(H1328)^2+0.05*(H1328)+1.77</f>
        <v>1.86944</v>
      </c>
      <c r="L1328" s="204">
        <f t="shared" ref="L1328:L1357" si="340">I1328*$B$1248</f>
        <v>18.195924999999999</v>
      </c>
      <c r="M1328" s="204">
        <f t="shared" ref="M1328:M1357" si="341">J1328*$B$1248</f>
        <v>20.662188799999999</v>
      </c>
      <c r="N1328" s="204">
        <f t="shared" ref="N1328:N1357" si="342">K1328*$B$1248</f>
        <v>26.116076800000002</v>
      </c>
    </row>
    <row r="1329" spans="1:14" x14ac:dyDescent="0.25">
      <c r="A1329" s="271">
        <v>2</v>
      </c>
      <c r="B1329" s="272">
        <f>B98*'CO '!$G$1240</f>
        <v>61.17647058823529</v>
      </c>
      <c r="C1329" s="273">
        <f t="shared" si="336"/>
        <v>61.17647058823529</v>
      </c>
      <c r="D1329" s="273">
        <f>C1329</f>
        <v>61.17647058823529</v>
      </c>
      <c r="E1329" s="273">
        <f>D1329</f>
        <v>61.17647058823529</v>
      </c>
      <c r="F1329" s="266">
        <f t="shared" si="333"/>
        <v>5</v>
      </c>
      <c r="G1329" s="266">
        <f t="shared" si="334"/>
        <v>2</v>
      </c>
      <c r="H1329" s="266">
        <f t="shared" si="335"/>
        <v>2</v>
      </c>
      <c r="I1329" s="312">
        <f t="shared" si="337"/>
        <v>1.3025</v>
      </c>
      <c r="J1329" s="312">
        <f t="shared" si="338"/>
        <v>1.4790399999999999</v>
      </c>
      <c r="K1329" s="312">
        <f t="shared" si="339"/>
        <v>1.86944</v>
      </c>
      <c r="L1329" s="204">
        <f t="shared" si="340"/>
        <v>18.195924999999999</v>
      </c>
      <c r="M1329" s="204">
        <f t="shared" si="341"/>
        <v>20.662188799999999</v>
      </c>
      <c r="N1329" s="204">
        <f t="shared" si="342"/>
        <v>26.116076800000002</v>
      </c>
    </row>
    <row r="1330" spans="1:14" x14ac:dyDescent="0.25">
      <c r="A1330" s="271">
        <v>3</v>
      </c>
      <c r="B1330" s="272">
        <f>B99*'CO '!$G$1240</f>
        <v>61.17647058823529</v>
      </c>
      <c r="C1330" s="273">
        <f t="shared" si="336"/>
        <v>61.17647058823529</v>
      </c>
      <c r="D1330" s="273">
        <f t="shared" ref="D1330:D1357" si="343">C1330</f>
        <v>61.17647058823529</v>
      </c>
      <c r="E1330" s="273">
        <f t="shared" ref="E1330:E1357" si="344">D1330</f>
        <v>61.17647058823529</v>
      </c>
      <c r="F1330" s="266">
        <f t="shared" si="333"/>
        <v>5</v>
      </c>
      <c r="G1330" s="266">
        <f t="shared" si="334"/>
        <v>2</v>
      </c>
      <c r="H1330" s="266">
        <f t="shared" si="335"/>
        <v>2</v>
      </c>
      <c r="I1330" s="312">
        <f t="shared" si="337"/>
        <v>1.3025</v>
      </c>
      <c r="J1330" s="312">
        <f t="shared" si="338"/>
        <v>1.4790399999999999</v>
      </c>
      <c r="K1330" s="312">
        <f t="shared" si="339"/>
        <v>1.86944</v>
      </c>
      <c r="L1330" s="204">
        <f t="shared" si="340"/>
        <v>18.195924999999999</v>
      </c>
      <c r="M1330" s="204">
        <f t="shared" si="341"/>
        <v>20.662188799999999</v>
      </c>
      <c r="N1330" s="204">
        <f t="shared" si="342"/>
        <v>26.116076800000002</v>
      </c>
    </row>
    <row r="1331" spans="1:14" x14ac:dyDescent="0.25">
      <c r="A1331" s="271">
        <v>4</v>
      </c>
      <c r="B1331" s="272">
        <f>B100*'CO '!$G$1240</f>
        <v>61.17647058823529</v>
      </c>
      <c r="C1331" s="273">
        <f t="shared" si="336"/>
        <v>61.17647058823529</v>
      </c>
      <c r="D1331" s="273">
        <f t="shared" si="343"/>
        <v>61.17647058823529</v>
      </c>
      <c r="E1331" s="273">
        <f t="shared" si="344"/>
        <v>61.17647058823529</v>
      </c>
      <c r="F1331" s="266">
        <f t="shared" si="333"/>
        <v>5</v>
      </c>
      <c r="G1331" s="266">
        <f t="shared" si="334"/>
        <v>2</v>
      </c>
      <c r="H1331" s="266">
        <f t="shared" si="335"/>
        <v>2</v>
      </c>
      <c r="I1331" s="312">
        <f t="shared" si="337"/>
        <v>1.3025</v>
      </c>
      <c r="J1331" s="312">
        <f t="shared" si="338"/>
        <v>1.4790399999999999</v>
      </c>
      <c r="K1331" s="312">
        <f t="shared" si="339"/>
        <v>1.86944</v>
      </c>
      <c r="L1331" s="204">
        <f t="shared" si="340"/>
        <v>18.195924999999999</v>
      </c>
      <c r="M1331" s="204">
        <f t="shared" si="341"/>
        <v>20.662188799999999</v>
      </c>
      <c r="N1331" s="204">
        <f t="shared" si="342"/>
        <v>26.116076800000002</v>
      </c>
    </row>
    <row r="1332" spans="1:14" x14ac:dyDescent="0.25">
      <c r="A1332" s="271">
        <v>5</v>
      </c>
      <c r="B1332" s="272">
        <f>B101*'CO '!$G$1240</f>
        <v>61.17647058823529</v>
      </c>
      <c r="C1332" s="273">
        <f t="shared" si="336"/>
        <v>61.17647058823529</v>
      </c>
      <c r="D1332" s="273">
        <f t="shared" si="343"/>
        <v>61.17647058823529</v>
      </c>
      <c r="E1332" s="273">
        <f t="shared" si="344"/>
        <v>61.17647058823529</v>
      </c>
      <c r="F1332" s="266">
        <f t="shared" si="333"/>
        <v>5</v>
      </c>
      <c r="G1332" s="266">
        <f t="shared" si="334"/>
        <v>2</v>
      </c>
      <c r="H1332" s="266">
        <f t="shared" si="335"/>
        <v>2</v>
      </c>
      <c r="I1332" s="312">
        <f t="shared" si="337"/>
        <v>1.3025</v>
      </c>
      <c r="J1332" s="312">
        <f t="shared" si="338"/>
        <v>1.4790399999999999</v>
      </c>
      <c r="K1332" s="312">
        <f t="shared" si="339"/>
        <v>1.86944</v>
      </c>
      <c r="L1332" s="204">
        <f t="shared" si="340"/>
        <v>18.195924999999999</v>
      </c>
      <c r="M1332" s="204">
        <f t="shared" si="341"/>
        <v>20.662188799999999</v>
      </c>
      <c r="N1332" s="204">
        <f t="shared" si="342"/>
        <v>26.116076800000002</v>
      </c>
    </row>
    <row r="1333" spans="1:14" x14ac:dyDescent="0.25">
      <c r="A1333" s="271">
        <v>6</v>
      </c>
      <c r="B1333" s="272">
        <f>B102*'CO '!$G$1240</f>
        <v>61.17647058823529</v>
      </c>
      <c r="C1333" s="273">
        <f t="shared" si="336"/>
        <v>61.17647058823529</v>
      </c>
      <c r="D1333" s="273">
        <f t="shared" si="343"/>
        <v>61.17647058823529</v>
      </c>
      <c r="E1333" s="273">
        <f t="shared" si="344"/>
        <v>61.17647058823529</v>
      </c>
      <c r="F1333" s="266">
        <f t="shared" si="333"/>
        <v>5</v>
      </c>
      <c r="G1333" s="266">
        <f t="shared" si="334"/>
        <v>2</v>
      </c>
      <c r="H1333" s="266">
        <f t="shared" si="335"/>
        <v>2</v>
      </c>
      <c r="I1333" s="312">
        <f t="shared" si="337"/>
        <v>1.3025</v>
      </c>
      <c r="J1333" s="312">
        <f t="shared" si="338"/>
        <v>1.4790399999999999</v>
      </c>
      <c r="K1333" s="312">
        <f t="shared" si="339"/>
        <v>1.86944</v>
      </c>
      <c r="L1333" s="204">
        <f t="shared" si="340"/>
        <v>18.195924999999999</v>
      </c>
      <c r="M1333" s="204">
        <f t="shared" si="341"/>
        <v>20.662188799999999</v>
      </c>
      <c r="N1333" s="204">
        <f t="shared" si="342"/>
        <v>26.116076800000002</v>
      </c>
    </row>
    <row r="1334" spans="1:14" x14ac:dyDescent="0.25">
      <c r="A1334" s="271">
        <v>7</v>
      </c>
      <c r="B1334" s="272">
        <f>B103*'CO '!$G$1240</f>
        <v>61.17647058823529</v>
      </c>
      <c r="C1334" s="273">
        <f t="shared" si="336"/>
        <v>61.17647058823529</v>
      </c>
      <c r="D1334" s="273">
        <f t="shared" si="343"/>
        <v>61.17647058823529</v>
      </c>
      <c r="E1334" s="273">
        <f t="shared" si="344"/>
        <v>61.17647058823529</v>
      </c>
      <c r="F1334" s="266">
        <f t="shared" si="333"/>
        <v>5</v>
      </c>
      <c r="G1334" s="266">
        <f t="shared" si="334"/>
        <v>2</v>
      </c>
      <c r="H1334" s="266">
        <f t="shared" si="335"/>
        <v>2</v>
      </c>
      <c r="I1334" s="312">
        <f t="shared" si="337"/>
        <v>1.3025</v>
      </c>
      <c r="J1334" s="312">
        <f t="shared" si="338"/>
        <v>1.4790399999999999</v>
      </c>
      <c r="K1334" s="312">
        <f t="shared" si="339"/>
        <v>1.86944</v>
      </c>
      <c r="L1334" s="204">
        <f t="shared" si="340"/>
        <v>18.195924999999999</v>
      </c>
      <c r="M1334" s="204">
        <f t="shared" si="341"/>
        <v>20.662188799999999</v>
      </c>
      <c r="N1334" s="204">
        <f t="shared" si="342"/>
        <v>26.116076800000002</v>
      </c>
    </row>
    <row r="1335" spans="1:14" x14ac:dyDescent="0.25">
      <c r="A1335" s="271">
        <v>8</v>
      </c>
      <c r="B1335" s="272">
        <f>B104*'CO '!$G$1240</f>
        <v>61.17647058823529</v>
      </c>
      <c r="C1335" s="273">
        <f t="shared" si="336"/>
        <v>61.17647058823529</v>
      </c>
      <c r="D1335" s="273">
        <f t="shared" si="343"/>
        <v>61.17647058823529</v>
      </c>
      <c r="E1335" s="273">
        <f t="shared" si="344"/>
        <v>61.17647058823529</v>
      </c>
      <c r="F1335" s="266">
        <f t="shared" si="333"/>
        <v>5</v>
      </c>
      <c r="G1335" s="266">
        <f t="shared" si="334"/>
        <v>2</v>
      </c>
      <c r="H1335" s="266">
        <f t="shared" si="335"/>
        <v>2</v>
      </c>
      <c r="I1335" s="312">
        <f t="shared" si="337"/>
        <v>1.3025</v>
      </c>
      <c r="J1335" s="312">
        <f t="shared" si="338"/>
        <v>1.4790399999999999</v>
      </c>
      <c r="K1335" s="312">
        <f t="shared" si="339"/>
        <v>1.86944</v>
      </c>
      <c r="L1335" s="204">
        <f t="shared" si="340"/>
        <v>18.195924999999999</v>
      </c>
      <c r="M1335" s="204">
        <f t="shared" si="341"/>
        <v>20.662188799999999</v>
      </c>
      <c r="N1335" s="204">
        <f t="shared" si="342"/>
        <v>26.116076800000002</v>
      </c>
    </row>
    <row r="1336" spans="1:14" x14ac:dyDescent="0.25">
      <c r="A1336" s="271">
        <v>9</v>
      </c>
      <c r="B1336" s="272">
        <f>B105*'CO '!$G$1240</f>
        <v>61.17647058823529</v>
      </c>
      <c r="C1336" s="273">
        <f t="shared" si="336"/>
        <v>61.17647058823529</v>
      </c>
      <c r="D1336" s="273">
        <f t="shared" si="343"/>
        <v>61.17647058823529</v>
      </c>
      <c r="E1336" s="273">
        <f t="shared" si="344"/>
        <v>61.17647058823529</v>
      </c>
      <c r="F1336" s="266">
        <f t="shared" si="333"/>
        <v>5</v>
      </c>
      <c r="G1336" s="266">
        <f t="shared" si="334"/>
        <v>2</v>
      </c>
      <c r="H1336" s="266">
        <f t="shared" si="335"/>
        <v>2</v>
      </c>
      <c r="I1336" s="312">
        <f t="shared" si="337"/>
        <v>1.3025</v>
      </c>
      <c r="J1336" s="312">
        <f t="shared" si="338"/>
        <v>1.4790399999999999</v>
      </c>
      <c r="K1336" s="312">
        <f t="shared" si="339"/>
        <v>1.86944</v>
      </c>
      <c r="L1336" s="204">
        <f t="shared" si="340"/>
        <v>18.195924999999999</v>
      </c>
      <c r="M1336" s="204">
        <f t="shared" si="341"/>
        <v>20.662188799999999</v>
      </c>
      <c r="N1336" s="204">
        <f t="shared" si="342"/>
        <v>26.116076800000002</v>
      </c>
    </row>
    <row r="1337" spans="1:14" x14ac:dyDescent="0.25">
      <c r="A1337" s="271">
        <v>10</v>
      </c>
      <c r="B1337" s="272">
        <f>B106*'CO '!$G$1240</f>
        <v>61.17647058823529</v>
      </c>
      <c r="C1337" s="273">
        <f t="shared" si="336"/>
        <v>61.17647058823529</v>
      </c>
      <c r="D1337" s="273">
        <f t="shared" si="343"/>
        <v>61.17647058823529</v>
      </c>
      <c r="E1337" s="273">
        <f t="shared" si="344"/>
        <v>61.17647058823529</v>
      </c>
      <c r="F1337" s="266">
        <f t="shared" si="333"/>
        <v>5</v>
      </c>
      <c r="G1337" s="266">
        <f t="shared" si="334"/>
        <v>2</v>
      </c>
      <c r="H1337" s="266">
        <f t="shared" si="335"/>
        <v>2</v>
      </c>
      <c r="I1337" s="312">
        <f t="shared" si="337"/>
        <v>1.3025</v>
      </c>
      <c r="J1337" s="312">
        <f t="shared" si="338"/>
        <v>1.4790399999999999</v>
      </c>
      <c r="K1337" s="312">
        <f t="shared" si="339"/>
        <v>1.86944</v>
      </c>
      <c r="L1337" s="204">
        <f t="shared" si="340"/>
        <v>18.195924999999999</v>
      </c>
      <c r="M1337" s="204">
        <f t="shared" si="341"/>
        <v>20.662188799999999</v>
      </c>
      <c r="N1337" s="204">
        <f t="shared" si="342"/>
        <v>26.116076800000002</v>
      </c>
    </row>
    <row r="1338" spans="1:14" x14ac:dyDescent="0.25">
      <c r="A1338" s="271">
        <v>11</v>
      </c>
      <c r="B1338" s="272">
        <f>B107*'CO '!$G$1240</f>
        <v>61.17647058823529</v>
      </c>
      <c r="C1338" s="273">
        <f t="shared" si="336"/>
        <v>61.17647058823529</v>
      </c>
      <c r="D1338" s="273">
        <f t="shared" si="343"/>
        <v>61.17647058823529</v>
      </c>
      <c r="E1338" s="273">
        <f t="shared" si="344"/>
        <v>61.17647058823529</v>
      </c>
      <c r="F1338" s="266">
        <f t="shared" si="333"/>
        <v>5</v>
      </c>
      <c r="G1338" s="266">
        <f t="shared" si="334"/>
        <v>2</v>
      </c>
      <c r="H1338" s="266">
        <f t="shared" si="335"/>
        <v>2</v>
      </c>
      <c r="I1338" s="312">
        <f t="shared" si="337"/>
        <v>1.3025</v>
      </c>
      <c r="J1338" s="312">
        <f t="shared" si="338"/>
        <v>1.4790399999999999</v>
      </c>
      <c r="K1338" s="312">
        <f t="shared" si="339"/>
        <v>1.86944</v>
      </c>
      <c r="L1338" s="204">
        <f t="shared" si="340"/>
        <v>18.195924999999999</v>
      </c>
      <c r="M1338" s="204">
        <f t="shared" si="341"/>
        <v>20.662188799999999</v>
      </c>
      <c r="N1338" s="204">
        <f t="shared" si="342"/>
        <v>26.116076800000002</v>
      </c>
    </row>
    <row r="1339" spans="1:14" x14ac:dyDescent="0.25">
      <c r="A1339" s="271">
        <v>12</v>
      </c>
      <c r="B1339" s="272">
        <f>B108*'CO '!$G$1240</f>
        <v>55.058823529411761</v>
      </c>
      <c r="C1339" s="273">
        <f t="shared" si="336"/>
        <v>55.058823529411761</v>
      </c>
      <c r="D1339" s="273">
        <f t="shared" si="343"/>
        <v>55.058823529411761</v>
      </c>
      <c r="E1339" s="273">
        <f t="shared" si="344"/>
        <v>55.058823529411761</v>
      </c>
      <c r="F1339" s="266">
        <f t="shared" si="333"/>
        <v>7</v>
      </c>
      <c r="G1339" s="266">
        <f t="shared" si="334"/>
        <v>2</v>
      </c>
      <c r="H1339" s="266">
        <f t="shared" si="335"/>
        <v>2</v>
      </c>
      <c r="I1339" s="312">
        <f t="shared" si="337"/>
        <v>1.4085000000000001</v>
      </c>
      <c r="J1339" s="312">
        <f t="shared" si="338"/>
        <v>1.4790399999999999</v>
      </c>
      <c r="K1339" s="312">
        <f t="shared" si="339"/>
        <v>1.86944</v>
      </c>
      <c r="L1339" s="204">
        <f t="shared" si="340"/>
        <v>19.676745</v>
      </c>
      <c r="M1339" s="204">
        <f t="shared" si="341"/>
        <v>20.662188799999999</v>
      </c>
      <c r="N1339" s="204">
        <f t="shared" si="342"/>
        <v>26.116076800000002</v>
      </c>
    </row>
    <row r="1340" spans="1:14" x14ac:dyDescent="0.25">
      <c r="A1340" s="271">
        <v>13</v>
      </c>
      <c r="B1340" s="272">
        <f>B109*'CO '!$G$1240</f>
        <v>55.058823529411761</v>
      </c>
      <c r="C1340" s="273">
        <f t="shared" si="336"/>
        <v>55.058823529411761</v>
      </c>
      <c r="D1340" s="273">
        <f t="shared" si="343"/>
        <v>55.058823529411761</v>
      </c>
      <c r="E1340" s="273">
        <f t="shared" si="344"/>
        <v>55.058823529411761</v>
      </c>
      <c r="F1340" s="266">
        <f t="shared" si="333"/>
        <v>7</v>
      </c>
      <c r="G1340" s="266">
        <f t="shared" si="334"/>
        <v>2</v>
      </c>
      <c r="H1340" s="266">
        <f t="shared" si="335"/>
        <v>2</v>
      </c>
      <c r="I1340" s="312">
        <f t="shared" si="337"/>
        <v>1.4085000000000001</v>
      </c>
      <c r="J1340" s="312">
        <f t="shared" si="338"/>
        <v>1.4790399999999999</v>
      </c>
      <c r="K1340" s="312">
        <f t="shared" si="339"/>
        <v>1.86944</v>
      </c>
      <c r="L1340" s="204">
        <f t="shared" si="340"/>
        <v>19.676745</v>
      </c>
      <c r="M1340" s="204">
        <f t="shared" si="341"/>
        <v>20.662188799999999</v>
      </c>
      <c r="N1340" s="204">
        <f t="shared" si="342"/>
        <v>26.116076800000002</v>
      </c>
    </row>
    <row r="1341" spans="1:14" x14ac:dyDescent="0.25">
      <c r="A1341" s="271">
        <v>14</v>
      </c>
      <c r="B1341" s="272">
        <f>B110*'CO '!$G$1240</f>
        <v>55.058823529411761</v>
      </c>
      <c r="C1341" s="273">
        <f t="shared" si="336"/>
        <v>55.058823529411761</v>
      </c>
      <c r="D1341" s="273">
        <f t="shared" si="343"/>
        <v>55.058823529411761</v>
      </c>
      <c r="E1341" s="273">
        <f t="shared" si="344"/>
        <v>55.058823529411761</v>
      </c>
      <c r="F1341" s="266">
        <f t="shared" si="333"/>
        <v>7</v>
      </c>
      <c r="G1341" s="266">
        <f t="shared" si="334"/>
        <v>2</v>
      </c>
      <c r="H1341" s="266">
        <f t="shared" si="335"/>
        <v>2</v>
      </c>
      <c r="I1341" s="312">
        <f t="shared" si="337"/>
        <v>1.4085000000000001</v>
      </c>
      <c r="J1341" s="312">
        <f t="shared" si="338"/>
        <v>1.4790399999999999</v>
      </c>
      <c r="K1341" s="312">
        <f t="shared" si="339"/>
        <v>1.86944</v>
      </c>
      <c r="L1341" s="204">
        <f t="shared" si="340"/>
        <v>19.676745</v>
      </c>
      <c r="M1341" s="204">
        <f t="shared" si="341"/>
        <v>20.662188799999999</v>
      </c>
      <c r="N1341" s="204">
        <f t="shared" si="342"/>
        <v>26.116076800000002</v>
      </c>
    </row>
    <row r="1342" spans="1:14" x14ac:dyDescent="0.25">
      <c r="A1342" s="271">
        <v>15</v>
      </c>
      <c r="B1342" s="272">
        <f>B111*'CO '!$G$1240</f>
        <v>55.058823529411761</v>
      </c>
      <c r="C1342" s="273">
        <f t="shared" si="336"/>
        <v>55.058823529411761</v>
      </c>
      <c r="D1342" s="273">
        <f t="shared" si="343"/>
        <v>55.058823529411761</v>
      </c>
      <c r="E1342" s="273">
        <f t="shared" si="344"/>
        <v>55.058823529411761</v>
      </c>
      <c r="F1342" s="266">
        <f t="shared" si="333"/>
        <v>7</v>
      </c>
      <c r="G1342" s="266">
        <f t="shared" si="334"/>
        <v>2</v>
      </c>
      <c r="H1342" s="266">
        <f t="shared" si="335"/>
        <v>2</v>
      </c>
      <c r="I1342" s="312">
        <f t="shared" si="337"/>
        <v>1.4085000000000001</v>
      </c>
      <c r="J1342" s="312">
        <f t="shared" si="338"/>
        <v>1.4790399999999999</v>
      </c>
      <c r="K1342" s="312">
        <f t="shared" si="339"/>
        <v>1.86944</v>
      </c>
      <c r="L1342" s="204">
        <f t="shared" si="340"/>
        <v>19.676745</v>
      </c>
      <c r="M1342" s="204">
        <f t="shared" si="341"/>
        <v>20.662188799999999</v>
      </c>
      <c r="N1342" s="204">
        <f t="shared" si="342"/>
        <v>26.116076800000002</v>
      </c>
    </row>
    <row r="1343" spans="1:14" x14ac:dyDescent="0.25">
      <c r="A1343" s="271">
        <v>16</v>
      </c>
      <c r="B1343" s="272">
        <f>B112*'CO '!$G$1240</f>
        <v>55.058823529411761</v>
      </c>
      <c r="C1343" s="273">
        <f t="shared" si="336"/>
        <v>55.058823529411761</v>
      </c>
      <c r="D1343" s="273">
        <f t="shared" si="343"/>
        <v>55.058823529411761</v>
      </c>
      <c r="E1343" s="273">
        <f t="shared" si="344"/>
        <v>55.058823529411761</v>
      </c>
      <c r="F1343" s="266">
        <f t="shared" si="333"/>
        <v>7</v>
      </c>
      <c r="G1343" s="266">
        <f t="shared" si="334"/>
        <v>2</v>
      </c>
      <c r="H1343" s="266">
        <f t="shared" si="335"/>
        <v>2</v>
      </c>
      <c r="I1343" s="312">
        <f t="shared" si="337"/>
        <v>1.4085000000000001</v>
      </c>
      <c r="J1343" s="312">
        <f t="shared" si="338"/>
        <v>1.4790399999999999</v>
      </c>
      <c r="K1343" s="312">
        <f t="shared" si="339"/>
        <v>1.86944</v>
      </c>
      <c r="L1343" s="204">
        <f t="shared" si="340"/>
        <v>19.676745</v>
      </c>
      <c r="M1343" s="204">
        <f t="shared" si="341"/>
        <v>20.662188799999999</v>
      </c>
      <c r="N1343" s="204">
        <f t="shared" si="342"/>
        <v>26.116076800000002</v>
      </c>
    </row>
    <row r="1344" spans="1:14" x14ac:dyDescent="0.25">
      <c r="A1344" s="271">
        <v>17</v>
      </c>
      <c r="B1344" s="272">
        <f>B113*'CO '!$G$1240</f>
        <v>55.058823529411761</v>
      </c>
      <c r="C1344" s="273">
        <f t="shared" si="336"/>
        <v>55.058823529411761</v>
      </c>
      <c r="D1344" s="273">
        <f t="shared" si="343"/>
        <v>55.058823529411761</v>
      </c>
      <c r="E1344" s="273">
        <f t="shared" si="344"/>
        <v>55.058823529411761</v>
      </c>
      <c r="F1344" s="266">
        <f t="shared" si="333"/>
        <v>7</v>
      </c>
      <c r="G1344" s="266">
        <f t="shared" si="334"/>
        <v>2</v>
      </c>
      <c r="H1344" s="266">
        <f t="shared" si="335"/>
        <v>2</v>
      </c>
      <c r="I1344" s="312">
        <f t="shared" si="337"/>
        <v>1.4085000000000001</v>
      </c>
      <c r="J1344" s="312">
        <f t="shared" si="338"/>
        <v>1.4790399999999999</v>
      </c>
      <c r="K1344" s="312">
        <f t="shared" si="339"/>
        <v>1.86944</v>
      </c>
      <c r="L1344" s="204">
        <f t="shared" si="340"/>
        <v>19.676745</v>
      </c>
      <c r="M1344" s="204">
        <f t="shared" si="341"/>
        <v>20.662188799999999</v>
      </c>
      <c r="N1344" s="204">
        <f t="shared" si="342"/>
        <v>26.116076800000002</v>
      </c>
    </row>
    <row r="1345" spans="1:15" x14ac:dyDescent="0.25">
      <c r="A1345" s="271">
        <v>18</v>
      </c>
      <c r="B1345" s="272">
        <f>B114*'CO '!$G$1240</f>
        <v>55.058823529411761</v>
      </c>
      <c r="C1345" s="273">
        <f t="shared" si="336"/>
        <v>55.058823529411761</v>
      </c>
      <c r="D1345" s="273">
        <f t="shared" si="343"/>
        <v>55.058823529411761</v>
      </c>
      <c r="E1345" s="273">
        <f t="shared" si="344"/>
        <v>55.058823529411761</v>
      </c>
      <c r="F1345" s="266">
        <f t="shared" si="333"/>
        <v>7</v>
      </c>
      <c r="G1345" s="266">
        <f t="shared" si="334"/>
        <v>2</v>
      </c>
      <c r="H1345" s="266">
        <f t="shared" si="335"/>
        <v>2</v>
      </c>
      <c r="I1345" s="312">
        <f t="shared" si="337"/>
        <v>1.4085000000000001</v>
      </c>
      <c r="J1345" s="312">
        <f t="shared" si="338"/>
        <v>1.4790399999999999</v>
      </c>
      <c r="K1345" s="312">
        <f t="shared" si="339"/>
        <v>1.86944</v>
      </c>
      <c r="L1345" s="204">
        <f t="shared" si="340"/>
        <v>19.676745</v>
      </c>
      <c r="M1345" s="204">
        <f t="shared" si="341"/>
        <v>20.662188799999999</v>
      </c>
      <c r="N1345" s="204">
        <f t="shared" si="342"/>
        <v>26.116076800000002</v>
      </c>
    </row>
    <row r="1346" spans="1:15" x14ac:dyDescent="0.25">
      <c r="A1346" s="271">
        <v>19</v>
      </c>
      <c r="B1346" s="272">
        <f>B115*'CO '!$G$1240</f>
        <v>55.058823529411761</v>
      </c>
      <c r="C1346" s="273">
        <f t="shared" si="336"/>
        <v>55.058823529411761</v>
      </c>
      <c r="D1346" s="273">
        <f t="shared" si="343"/>
        <v>55.058823529411761</v>
      </c>
      <c r="E1346" s="273">
        <f t="shared" si="344"/>
        <v>55.058823529411761</v>
      </c>
      <c r="F1346" s="266">
        <f t="shared" si="333"/>
        <v>7</v>
      </c>
      <c r="G1346" s="266">
        <f t="shared" si="334"/>
        <v>2</v>
      </c>
      <c r="H1346" s="266">
        <f t="shared" si="335"/>
        <v>2</v>
      </c>
      <c r="I1346" s="312">
        <f t="shared" si="337"/>
        <v>1.4085000000000001</v>
      </c>
      <c r="J1346" s="312">
        <f t="shared" si="338"/>
        <v>1.4790399999999999</v>
      </c>
      <c r="K1346" s="312">
        <f t="shared" si="339"/>
        <v>1.86944</v>
      </c>
      <c r="L1346" s="204">
        <f t="shared" si="340"/>
        <v>19.676745</v>
      </c>
      <c r="M1346" s="204">
        <f t="shared" si="341"/>
        <v>20.662188799999999</v>
      </c>
      <c r="N1346" s="204">
        <f t="shared" si="342"/>
        <v>26.116076800000002</v>
      </c>
    </row>
    <row r="1347" spans="1:15" x14ac:dyDescent="0.25">
      <c r="A1347" s="271">
        <v>20</v>
      </c>
      <c r="B1347" s="272">
        <f>B116*'CO '!$G$1240</f>
        <v>55.058823529411761</v>
      </c>
      <c r="C1347" s="273">
        <f t="shared" si="336"/>
        <v>55.058823529411761</v>
      </c>
      <c r="D1347" s="273">
        <f t="shared" si="343"/>
        <v>55.058823529411761</v>
      </c>
      <c r="E1347" s="273">
        <f t="shared" si="344"/>
        <v>55.058823529411761</v>
      </c>
      <c r="F1347" s="266">
        <f t="shared" si="333"/>
        <v>7</v>
      </c>
      <c r="G1347" s="266">
        <f t="shared" si="334"/>
        <v>2</v>
      </c>
      <c r="H1347" s="266">
        <f t="shared" si="335"/>
        <v>2</v>
      </c>
      <c r="I1347" s="312">
        <f t="shared" si="337"/>
        <v>1.4085000000000001</v>
      </c>
      <c r="J1347" s="312">
        <f t="shared" si="338"/>
        <v>1.4790399999999999</v>
      </c>
      <c r="K1347" s="312">
        <f t="shared" si="339"/>
        <v>1.86944</v>
      </c>
      <c r="L1347" s="204">
        <f t="shared" si="340"/>
        <v>19.676745</v>
      </c>
      <c r="M1347" s="204">
        <f t="shared" si="341"/>
        <v>20.662188799999999</v>
      </c>
      <c r="N1347" s="204">
        <f t="shared" si="342"/>
        <v>26.116076800000002</v>
      </c>
    </row>
    <row r="1348" spans="1:15" x14ac:dyDescent="0.25">
      <c r="A1348" s="271">
        <v>21</v>
      </c>
      <c r="B1348" s="272">
        <f>B117*'CO '!$G$1240</f>
        <v>55.058823529411761</v>
      </c>
      <c r="C1348" s="273">
        <f t="shared" si="336"/>
        <v>55.058823529411761</v>
      </c>
      <c r="D1348" s="273">
        <f t="shared" si="343"/>
        <v>55.058823529411761</v>
      </c>
      <c r="E1348" s="273">
        <f t="shared" si="344"/>
        <v>55.058823529411761</v>
      </c>
      <c r="F1348" s="266">
        <f t="shared" si="333"/>
        <v>7</v>
      </c>
      <c r="G1348" s="266">
        <f t="shared" si="334"/>
        <v>2</v>
      </c>
      <c r="H1348" s="266">
        <f t="shared" si="335"/>
        <v>2</v>
      </c>
      <c r="I1348" s="312">
        <f t="shared" si="337"/>
        <v>1.4085000000000001</v>
      </c>
      <c r="J1348" s="312">
        <f t="shared" si="338"/>
        <v>1.4790399999999999</v>
      </c>
      <c r="K1348" s="312">
        <f t="shared" si="339"/>
        <v>1.86944</v>
      </c>
      <c r="L1348" s="204">
        <f t="shared" si="340"/>
        <v>19.676745</v>
      </c>
      <c r="M1348" s="204">
        <f t="shared" si="341"/>
        <v>20.662188799999999</v>
      </c>
      <c r="N1348" s="204">
        <f t="shared" si="342"/>
        <v>26.116076800000002</v>
      </c>
    </row>
    <row r="1349" spans="1:15" x14ac:dyDescent="0.25">
      <c r="A1349" s="271">
        <v>22</v>
      </c>
      <c r="B1349" s="272">
        <f>B118*'CO '!$G$1240</f>
        <v>55.058823529411761</v>
      </c>
      <c r="C1349" s="273">
        <f t="shared" si="336"/>
        <v>55.058823529411761</v>
      </c>
      <c r="D1349" s="273">
        <f t="shared" si="343"/>
        <v>55.058823529411761</v>
      </c>
      <c r="E1349" s="273">
        <f t="shared" si="344"/>
        <v>55.058823529411761</v>
      </c>
      <c r="F1349" s="266">
        <f t="shared" si="333"/>
        <v>7</v>
      </c>
      <c r="G1349" s="266">
        <f t="shared" si="334"/>
        <v>2</v>
      </c>
      <c r="H1349" s="266">
        <f t="shared" si="335"/>
        <v>2</v>
      </c>
      <c r="I1349" s="312">
        <f t="shared" si="337"/>
        <v>1.4085000000000001</v>
      </c>
      <c r="J1349" s="312">
        <f>0.00003*(G1349)^3+0.0002*(G1349)^2+0.044*(G1349)+1.39</f>
        <v>1.4790399999999999</v>
      </c>
      <c r="K1349" s="312">
        <f t="shared" si="339"/>
        <v>1.86944</v>
      </c>
      <c r="L1349" s="204">
        <f t="shared" si="340"/>
        <v>19.676745</v>
      </c>
      <c r="M1349" s="204">
        <f t="shared" si="341"/>
        <v>20.662188799999999</v>
      </c>
      <c r="N1349" s="204">
        <f t="shared" si="342"/>
        <v>26.116076800000002</v>
      </c>
    </row>
    <row r="1350" spans="1:15" x14ac:dyDescent="0.25">
      <c r="A1350" s="271">
        <v>23</v>
      </c>
      <c r="B1350" s="272">
        <f>B119*'CO '!$G$1240</f>
        <v>55.058823529411761</v>
      </c>
      <c r="C1350" s="273">
        <f t="shared" si="336"/>
        <v>55.058823529411761</v>
      </c>
      <c r="D1350" s="273">
        <f t="shared" si="343"/>
        <v>55.058823529411761</v>
      </c>
      <c r="E1350" s="273">
        <f t="shared" si="344"/>
        <v>55.058823529411761</v>
      </c>
      <c r="F1350" s="266">
        <f t="shared" si="333"/>
        <v>7</v>
      </c>
      <c r="G1350" s="266">
        <f t="shared" si="334"/>
        <v>2</v>
      </c>
      <c r="H1350" s="266">
        <f t="shared" si="335"/>
        <v>2</v>
      </c>
      <c r="I1350" s="312">
        <f t="shared" si="337"/>
        <v>1.4085000000000001</v>
      </c>
      <c r="J1350" s="312">
        <f t="shared" si="338"/>
        <v>1.4790399999999999</v>
      </c>
      <c r="K1350" s="312">
        <f t="shared" si="339"/>
        <v>1.86944</v>
      </c>
      <c r="L1350" s="204">
        <f t="shared" si="340"/>
        <v>19.676745</v>
      </c>
      <c r="M1350" s="204">
        <f t="shared" si="341"/>
        <v>20.662188799999999</v>
      </c>
      <c r="N1350" s="204">
        <f t="shared" si="342"/>
        <v>26.116076800000002</v>
      </c>
    </row>
    <row r="1351" spans="1:15" x14ac:dyDescent="0.25">
      <c r="A1351" s="271">
        <v>24</v>
      </c>
      <c r="B1351" s="272">
        <f>B120*'CO '!$G$1240</f>
        <v>55.058823529411761</v>
      </c>
      <c r="C1351" s="273">
        <f t="shared" si="336"/>
        <v>55.058823529411761</v>
      </c>
      <c r="D1351" s="273">
        <f t="shared" si="343"/>
        <v>55.058823529411761</v>
      </c>
      <c r="E1351" s="273">
        <f t="shared" si="344"/>
        <v>55.058823529411761</v>
      </c>
      <c r="F1351" s="266">
        <f t="shared" si="333"/>
        <v>7</v>
      </c>
      <c r="G1351" s="266">
        <f t="shared" si="334"/>
        <v>2</v>
      </c>
      <c r="H1351" s="266">
        <f t="shared" si="335"/>
        <v>2</v>
      </c>
      <c r="I1351" s="312">
        <f t="shared" si="337"/>
        <v>1.4085000000000001</v>
      </c>
      <c r="J1351" s="312">
        <f t="shared" si="338"/>
        <v>1.4790399999999999</v>
      </c>
      <c r="K1351" s="312">
        <f t="shared" si="339"/>
        <v>1.86944</v>
      </c>
      <c r="L1351" s="204">
        <f t="shared" si="340"/>
        <v>19.676745</v>
      </c>
      <c r="M1351" s="204">
        <f t="shared" si="341"/>
        <v>20.662188799999999</v>
      </c>
      <c r="N1351" s="204">
        <f t="shared" si="342"/>
        <v>26.116076800000002</v>
      </c>
    </row>
    <row r="1352" spans="1:15" x14ac:dyDescent="0.25">
      <c r="A1352" s="271">
        <v>25</v>
      </c>
      <c r="B1352" s="272">
        <f>B121*'CO '!$G$1240</f>
        <v>55.058823529411761</v>
      </c>
      <c r="C1352" s="273">
        <f t="shared" si="336"/>
        <v>55.058823529411761</v>
      </c>
      <c r="D1352" s="273">
        <f t="shared" si="343"/>
        <v>55.058823529411761</v>
      </c>
      <c r="E1352" s="273">
        <f t="shared" si="344"/>
        <v>55.058823529411761</v>
      </c>
      <c r="F1352" s="266">
        <f t="shared" si="333"/>
        <v>7</v>
      </c>
      <c r="G1352" s="266">
        <f t="shared" si="334"/>
        <v>2</v>
      </c>
      <c r="H1352" s="266">
        <f t="shared" si="335"/>
        <v>2</v>
      </c>
      <c r="I1352" s="312">
        <f t="shared" si="337"/>
        <v>1.4085000000000001</v>
      </c>
      <c r="J1352" s="312">
        <f t="shared" si="338"/>
        <v>1.4790399999999999</v>
      </c>
      <c r="K1352" s="312">
        <f t="shared" si="339"/>
        <v>1.86944</v>
      </c>
      <c r="L1352" s="204">
        <f t="shared" si="340"/>
        <v>19.676745</v>
      </c>
      <c r="M1352" s="204">
        <f t="shared" si="341"/>
        <v>20.662188799999999</v>
      </c>
      <c r="N1352" s="204">
        <f t="shared" si="342"/>
        <v>26.116076800000002</v>
      </c>
    </row>
    <row r="1353" spans="1:15" x14ac:dyDescent="0.25">
      <c r="A1353" s="271">
        <v>26</v>
      </c>
      <c r="B1353" s="272">
        <f>B122*'CO '!$G$1240</f>
        <v>55.058823529411761</v>
      </c>
      <c r="C1353" s="273">
        <f t="shared" si="336"/>
        <v>55.058823529411761</v>
      </c>
      <c r="D1353" s="273">
        <f t="shared" si="343"/>
        <v>55.058823529411761</v>
      </c>
      <c r="E1353" s="273">
        <f t="shared" si="344"/>
        <v>55.058823529411761</v>
      </c>
      <c r="F1353" s="266">
        <f t="shared" si="333"/>
        <v>7</v>
      </c>
      <c r="G1353" s="266">
        <f t="shared" si="334"/>
        <v>2</v>
      </c>
      <c r="H1353" s="266">
        <f t="shared" si="335"/>
        <v>2</v>
      </c>
      <c r="I1353" s="312">
        <f t="shared" si="337"/>
        <v>1.4085000000000001</v>
      </c>
      <c r="J1353" s="312">
        <f t="shared" si="338"/>
        <v>1.4790399999999999</v>
      </c>
      <c r="K1353" s="312">
        <f t="shared" si="339"/>
        <v>1.86944</v>
      </c>
      <c r="L1353" s="204">
        <f t="shared" si="340"/>
        <v>19.676745</v>
      </c>
      <c r="M1353" s="204">
        <f t="shared" si="341"/>
        <v>20.662188799999999</v>
      </c>
      <c r="N1353" s="204">
        <f t="shared" si="342"/>
        <v>26.116076800000002</v>
      </c>
    </row>
    <row r="1354" spans="1:15" x14ac:dyDescent="0.25">
      <c r="A1354" s="271">
        <v>27</v>
      </c>
      <c r="B1354" s="272">
        <f>B123*'CO '!$G$1240</f>
        <v>55.058823529411761</v>
      </c>
      <c r="C1354" s="273">
        <f t="shared" si="336"/>
        <v>55.058823529411761</v>
      </c>
      <c r="D1354" s="273">
        <f t="shared" si="343"/>
        <v>55.058823529411761</v>
      </c>
      <c r="E1354" s="273">
        <f t="shared" si="344"/>
        <v>55.058823529411761</v>
      </c>
      <c r="F1354" s="266">
        <f t="shared" si="333"/>
        <v>7</v>
      </c>
      <c r="G1354" s="266">
        <f t="shared" si="334"/>
        <v>2</v>
      </c>
      <c r="H1354" s="266">
        <f t="shared" si="335"/>
        <v>2</v>
      </c>
      <c r="I1354" s="312">
        <f t="shared" si="337"/>
        <v>1.4085000000000001</v>
      </c>
      <c r="J1354" s="312">
        <f t="shared" si="338"/>
        <v>1.4790399999999999</v>
      </c>
      <c r="K1354" s="312">
        <f t="shared" si="339"/>
        <v>1.86944</v>
      </c>
      <c r="L1354" s="204">
        <f t="shared" si="340"/>
        <v>19.676745</v>
      </c>
      <c r="M1354" s="204">
        <f t="shared" si="341"/>
        <v>20.662188799999999</v>
      </c>
      <c r="N1354" s="204">
        <f t="shared" si="342"/>
        <v>26.116076800000002</v>
      </c>
    </row>
    <row r="1355" spans="1:15" x14ac:dyDescent="0.25">
      <c r="A1355" s="271">
        <v>28</v>
      </c>
      <c r="B1355" s="272">
        <f>B124*'CO '!$G$1240</f>
        <v>55.058823529411761</v>
      </c>
      <c r="C1355" s="273">
        <f t="shared" si="336"/>
        <v>55.058823529411761</v>
      </c>
      <c r="D1355" s="273">
        <f t="shared" si="343"/>
        <v>55.058823529411761</v>
      </c>
      <c r="E1355" s="273">
        <f t="shared" si="344"/>
        <v>55.058823529411761</v>
      </c>
      <c r="F1355" s="266">
        <f t="shared" si="333"/>
        <v>7</v>
      </c>
      <c r="G1355" s="266">
        <f t="shared" si="334"/>
        <v>2</v>
      </c>
      <c r="H1355" s="266">
        <f t="shared" si="335"/>
        <v>2</v>
      </c>
      <c r="I1355" s="312">
        <f t="shared" si="337"/>
        <v>1.4085000000000001</v>
      </c>
      <c r="J1355" s="312">
        <f t="shared" si="338"/>
        <v>1.4790399999999999</v>
      </c>
      <c r="K1355" s="312">
        <f t="shared" si="339"/>
        <v>1.86944</v>
      </c>
      <c r="L1355" s="204">
        <f t="shared" si="340"/>
        <v>19.676745</v>
      </c>
      <c r="M1355" s="204">
        <f t="shared" si="341"/>
        <v>20.662188799999999</v>
      </c>
      <c r="N1355" s="204">
        <f t="shared" si="342"/>
        <v>26.116076800000002</v>
      </c>
    </row>
    <row r="1356" spans="1:15" x14ac:dyDescent="0.25">
      <c r="A1356" s="271">
        <v>29</v>
      </c>
      <c r="B1356" s="272">
        <f>B125*'CO '!$G$1240</f>
        <v>55.058823529411761</v>
      </c>
      <c r="C1356" s="273">
        <f t="shared" si="336"/>
        <v>55.058823529411761</v>
      </c>
      <c r="D1356" s="273">
        <f t="shared" si="343"/>
        <v>55.058823529411761</v>
      </c>
      <c r="E1356" s="273">
        <f t="shared" si="344"/>
        <v>55.058823529411761</v>
      </c>
      <c r="F1356" s="266">
        <f t="shared" si="333"/>
        <v>7</v>
      </c>
      <c r="G1356" s="266">
        <f t="shared" si="334"/>
        <v>2</v>
      </c>
      <c r="H1356" s="266">
        <f t="shared" si="335"/>
        <v>2</v>
      </c>
      <c r="I1356" s="312">
        <f t="shared" si="337"/>
        <v>1.4085000000000001</v>
      </c>
      <c r="J1356" s="312">
        <f t="shared" si="338"/>
        <v>1.4790399999999999</v>
      </c>
      <c r="K1356" s="312">
        <f t="shared" si="339"/>
        <v>1.86944</v>
      </c>
      <c r="L1356" s="204">
        <f t="shared" si="340"/>
        <v>19.676745</v>
      </c>
      <c r="M1356" s="204">
        <f t="shared" si="341"/>
        <v>20.662188799999999</v>
      </c>
      <c r="N1356" s="204">
        <f t="shared" si="342"/>
        <v>26.116076800000002</v>
      </c>
    </row>
    <row r="1357" spans="1:15" x14ac:dyDescent="0.25">
      <c r="A1357" s="271">
        <v>30</v>
      </c>
      <c r="B1357" s="272">
        <f>B126*'CO '!$G$1240</f>
        <v>55.058823529411761</v>
      </c>
      <c r="C1357" s="273">
        <f t="shared" si="336"/>
        <v>55.058823529411761</v>
      </c>
      <c r="D1357" s="273">
        <f t="shared" si="343"/>
        <v>55.058823529411761</v>
      </c>
      <c r="E1357" s="273">
        <f t="shared" si="344"/>
        <v>55.058823529411761</v>
      </c>
      <c r="F1357" s="266">
        <f t="shared" si="333"/>
        <v>7</v>
      </c>
      <c r="G1357" s="266">
        <f t="shared" si="334"/>
        <v>2</v>
      </c>
      <c r="H1357" s="266">
        <f t="shared" si="335"/>
        <v>2</v>
      </c>
      <c r="I1357" s="312">
        <f t="shared" si="337"/>
        <v>1.4085000000000001</v>
      </c>
      <c r="J1357" s="312">
        <f t="shared" si="338"/>
        <v>1.4790399999999999</v>
      </c>
      <c r="K1357" s="312">
        <f t="shared" si="339"/>
        <v>1.86944</v>
      </c>
      <c r="L1357" s="204">
        <f t="shared" si="340"/>
        <v>19.676745</v>
      </c>
      <c r="M1357" s="204">
        <f t="shared" si="341"/>
        <v>20.662188799999999</v>
      </c>
      <c r="N1357" s="204">
        <f t="shared" si="342"/>
        <v>26.116076800000002</v>
      </c>
    </row>
    <row r="1358" spans="1:15" x14ac:dyDescent="0.25">
      <c r="A1358" s="271">
        <v>31</v>
      </c>
      <c r="B1358" s="272">
        <f>B127*'CO '!$G$1240</f>
        <v>55.058823529411761</v>
      </c>
      <c r="C1358" s="273">
        <f t="shared" si="336"/>
        <v>55.058823529411761</v>
      </c>
      <c r="D1358" s="273">
        <f>C1358</f>
        <v>55.058823529411761</v>
      </c>
      <c r="E1358" s="273">
        <f>D1358</f>
        <v>55.058823529411761</v>
      </c>
      <c r="F1358" s="266">
        <f>IF(C1358&gt;$B$1233,2,IF(C1358&gt;$B$1234,3,IF(C1358&gt;$B$1235,4,IF(C1358&gt;$B$1236,5,IF(C1358&gt;$B$1237,6,IF(C1358&gt;$B$1238,7,IF(C1358&gt;$B$1239,8,IF(C1358&gt;$B$1240,9,IF(C1358&gt;$B$1241,10,IF(C1358&gt;$B$1242,11,IF(C1358&gt;$B$1243,12,12)))))))))))</f>
        <v>7</v>
      </c>
      <c r="G1358" s="266">
        <f>IF(D1358&gt;$C$1233,2,IF(D1358&gt;$C$1234,3,IF(D1358&gt;$C$1235,4,IF(D1358&gt;$C$1236,5,IF(D1358&gt;$C$1237,6,IF(D1358&gt;$C$1238,7,IF(D1358&gt;$C$1239,8,IF(D1358&gt;$C$1240,9,IF(D1358&gt;$C$1241,10,IF(D1358&gt;$C$1242,11,IF(D1358&gt;$C$1243,12,12)))))))))))</f>
        <v>2</v>
      </c>
      <c r="H1358" s="266">
        <f>IF(E1358&gt;$D$1233,2,IF(E1358&gt;$D$1234,3,IF(E1358&gt;$D$1235,4,IF(E1358&gt;$D$1236,5,IF(E1358&gt;$D$1237,6,IF(E1358&gt;$D$1238,7,IF(E1358&gt;$D$1239,8,IF(E1358&gt;$D$1240,9,IF(E1358&gt;$D$1241,10,IF(E1358&gt;$D$1242,11,IF(E1358&gt;$D$1243,12,12)))))))))))</f>
        <v>2</v>
      </c>
      <c r="I1358" s="312">
        <f>0*(F1358)^3-0.0005*(F1358)^2+0.059*(F1358)+1.02</f>
        <v>1.4085000000000001</v>
      </c>
      <c r="J1358" s="312">
        <f>0.00003*(G1358)^3+0.0002*(G1358)^2+0.044*(G1358)+1.39</f>
        <v>1.4790399999999999</v>
      </c>
      <c r="K1358" s="312">
        <f>0.00003*(H1358)^3-0.0002*(H1358)^2+0.05*(H1358)+1.77</f>
        <v>1.86944</v>
      </c>
      <c r="L1358" s="204">
        <f t="shared" ref="L1358:N1359" si="345">I1358*$B$1248</f>
        <v>19.676745</v>
      </c>
      <c r="M1358" s="204">
        <f t="shared" si="345"/>
        <v>20.662188799999999</v>
      </c>
      <c r="N1358" s="204">
        <f t="shared" si="345"/>
        <v>26.116076800000002</v>
      </c>
    </row>
    <row r="1359" spans="1:15" x14ac:dyDescent="0.25">
      <c r="A1359" s="271">
        <v>32</v>
      </c>
      <c r="B1359" s="272">
        <f>B128*'CO '!$G$1240</f>
        <v>55.058823529411761</v>
      </c>
      <c r="C1359" s="273">
        <f t="shared" si="336"/>
        <v>55.058823529411761</v>
      </c>
      <c r="D1359" s="273">
        <f>C1359</f>
        <v>55.058823529411761</v>
      </c>
      <c r="E1359" s="273">
        <f>D1359</f>
        <v>55.058823529411761</v>
      </c>
      <c r="F1359" s="266">
        <f>IF(C1359&gt;$B$1233,2,IF(C1359&gt;$B$1234,3,IF(C1359&gt;$B$1235,4,IF(C1359&gt;$B$1236,5,IF(C1359&gt;$B$1237,6,IF(C1359&gt;$B$1238,7,IF(C1359&gt;$B$1239,8,IF(C1359&gt;$B$1240,9,IF(C1359&gt;$B$1241,10,IF(C1359&gt;$B$1242,11,IF(C1359&gt;$B$1243,12,12)))))))))))</f>
        <v>7</v>
      </c>
      <c r="G1359" s="266">
        <f>IF(D1359&gt;$C$1233,2,IF(D1359&gt;$C$1234,3,IF(D1359&gt;$C$1235,4,IF(D1359&gt;$C$1236,5,IF(D1359&gt;$C$1237,6,IF(D1359&gt;$C$1238,7,IF(D1359&gt;$C$1239,8,IF(D1359&gt;$C$1240,9,IF(D1359&gt;$C$1241,10,IF(D1359&gt;$C$1242,11,IF(D1359&gt;$C$1243,12,12)))))))))))</f>
        <v>2</v>
      </c>
      <c r="H1359" s="266">
        <f>IF(E1359&gt;$D$1233,2,IF(E1359&gt;$D$1234,3,IF(E1359&gt;$D$1235,4,IF(E1359&gt;$D$1236,5,IF(E1359&gt;$D$1237,6,IF(E1359&gt;$D$1238,7,IF(E1359&gt;$D$1239,8,IF(E1359&gt;$D$1240,9,IF(E1359&gt;$D$1241,10,IF(E1359&gt;$D$1242,11,IF(E1359&gt;$D$1243,12,12)))))))))))</f>
        <v>2</v>
      </c>
      <c r="I1359" s="312">
        <f>0*(F1359)^3-0.0005*(F1359)^2+0.059*(F1359)+1.02</f>
        <v>1.4085000000000001</v>
      </c>
      <c r="J1359" s="312">
        <f>0.00003*(G1359)^3+0.0002*(G1359)^2+0.044*(G1359)+1.39</f>
        <v>1.4790399999999999</v>
      </c>
      <c r="K1359" s="312">
        <f>0.00003*(H1359)^3-0.0002*(H1359)^2+0.05*(H1359)+1.77</f>
        <v>1.86944</v>
      </c>
      <c r="L1359" s="204">
        <f t="shared" si="345"/>
        <v>19.676745</v>
      </c>
      <c r="M1359" s="204">
        <f t="shared" si="345"/>
        <v>20.662188799999999</v>
      </c>
      <c r="N1359" s="204">
        <f t="shared" si="345"/>
        <v>26.116076800000002</v>
      </c>
    </row>
    <row r="1360" spans="1:15" x14ac:dyDescent="0.25">
      <c r="A1360" s="239" t="s">
        <v>291</v>
      </c>
      <c r="B1360" s="239"/>
      <c r="C1360" s="239"/>
      <c r="D1360" s="239"/>
      <c r="E1360" s="239"/>
      <c r="F1360" s="239"/>
      <c r="G1360" s="19"/>
      <c r="I1360" s="239" t="s">
        <v>292</v>
      </c>
      <c r="J1360" s="239"/>
      <c r="K1360" s="239"/>
      <c r="L1360" s="239"/>
      <c r="M1360" s="239"/>
      <c r="N1360" s="239"/>
      <c r="O1360" s="19"/>
    </row>
    <row r="1361" spans="1:15" x14ac:dyDescent="0.25">
      <c r="A1361" t="s">
        <v>243</v>
      </c>
      <c r="F1361" s="239" t="s">
        <v>247</v>
      </c>
      <c r="G1361" s="239">
        <f>'DATOS DE ENTRADA'!$C$7</f>
        <v>70</v>
      </c>
      <c r="I1361" t="s">
        <v>243</v>
      </c>
      <c r="N1361" s="239" t="s">
        <v>247</v>
      </c>
      <c r="O1361" s="239">
        <f>'DATOS DE ENTRADA'!$C$23</f>
        <v>70</v>
      </c>
    </row>
    <row r="1362" spans="1:15" x14ac:dyDescent="0.25">
      <c r="C1362" s="569" t="s">
        <v>246</v>
      </c>
      <c r="D1362" s="569"/>
      <c r="E1362" s="569"/>
      <c r="K1362" s="569" t="s">
        <v>246</v>
      </c>
      <c r="L1362" s="569"/>
      <c r="M1362" s="569"/>
    </row>
    <row r="1363" spans="1:15" x14ac:dyDescent="0.25">
      <c r="A1363" s="43" t="s">
        <v>18</v>
      </c>
      <c r="B1363" s="43" t="s">
        <v>293</v>
      </c>
      <c r="C1363" s="298" t="s">
        <v>233</v>
      </c>
      <c r="D1363" s="298" t="s">
        <v>234</v>
      </c>
      <c r="E1363" s="298" t="s">
        <v>235</v>
      </c>
      <c r="I1363" s="43" t="s">
        <v>18</v>
      </c>
      <c r="J1363" s="43" t="s">
        <v>293</v>
      </c>
      <c r="K1363" s="298" t="s">
        <v>233</v>
      </c>
      <c r="L1363" s="298" t="s">
        <v>234</v>
      </c>
      <c r="M1363" s="298" t="s">
        <v>235</v>
      </c>
    </row>
    <row r="1364" spans="1:15" x14ac:dyDescent="0.25">
      <c r="A1364" s="43">
        <v>0</v>
      </c>
      <c r="B1364" s="200">
        <f>'N CARRILES HCM'!H3</f>
        <v>45</v>
      </c>
      <c r="C1364" s="95">
        <f t="shared" ref="C1364:C1396" si="346">B1364*L1251*$G$625*365</f>
        <v>20045385.359999999</v>
      </c>
      <c r="D1364" s="95">
        <f t="shared" ref="D1364:D1396" si="347">B1364*M1251*$G$625*365</f>
        <v>23756351.572799999</v>
      </c>
      <c r="E1364" s="95">
        <f t="shared" ref="E1364:E1396" si="348">B1364*N1251*$G$625*365</f>
        <v>30026959.300800003</v>
      </c>
      <c r="I1364" s="43">
        <v>0</v>
      </c>
      <c r="J1364" s="200">
        <f>'N CARRILES HCM'!H40</f>
        <v>45</v>
      </c>
      <c r="K1364" s="95">
        <f t="shared" ref="K1364:K1396" si="349">J1364*L1289*365*$O$381</f>
        <v>18246440.520000003</v>
      </c>
      <c r="L1364" s="95">
        <f t="shared" ref="L1364:L1396" si="350">J1364*M1289*365*$O$381</f>
        <v>23756351.572799999</v>
      </c>
      <c r="M1364" s="95">
        <f t="shared" ref="M1364:M1396" si="351">J1364*N1289*365*$O$381</f>
        <v>30026959.300800007</v>
      </c>
    </row>
    <row r="1365" spans="1:15" x14ac:dyDescent="0.25">
      <c r="A1365" s="43">
        <v>1</v>
      </c>
      <c r="B1365" s="200">
        <f>'N CARRILES HCM'!H4</f>
        <v>46.35</v>
      </c>
      <c r="C1365" s="95">
        <f t="shared" si="346"/>
        <v>20646746.920800004</v>
      </c>
      <c r="D1365" s="95">
        <f t="shared" si="347"/>
        <v>24469042.119984001</v>
      </c>
      <c r="E1365" s="95">
        <f t="shared" si="348"/>
        <v>30927768.079824001</v>
      </c>
      <c r="I1365" s="43">
        <v>1</v>
      </c>
      <c r="J1365" s="200">
        <f>'N CARRILES HCM'!H41</f>
        <v>46.35</v>
      </c>
      <c r="K1365" s="95">
        <f t="shared" si="349"/>
        <v>18793833.735600006</v>
      </c>
      <c r="L1365" s="95">
        <f t="shared" si="350"/>
        <v>24469042.119984001</v>
      </c>
      <c r="M1365" s="95">
        <f t="shared" si="351"/>
        <v>30927768.079824001</v>
      </c>
    </row>
    <row r="1366" spans="1:15" x14ac:dyDescent="0.25">
      <c r="A1366" s="43">
        <v>2</v>
      </c>
      <c r="B1366" s="200">
        <f>'N CARRILES HCM'!H5</f>
        <v>47.740499999999997</v>
      </c>
      <c r="C1366" s="95">
        <f t="shared" si="346"/>
        <v>21266149.328423999</v>
      </c>
      <c r="D1366" s="95">
        <f t="shared" si="347"/>
        <v>25203113.383583516</v>
      </c>
      <c r="E1366" s="95">
        <f t="shared" si="348"/>
        <v>31855601.122218717</v>
      </c>
      <c r="I1366" s="43">
        <v>2</v>
      </c>
      <c r="J1366" s="200">
        <f>'N CARRILES HCM'!H42</f>
        <v>47.740499999999997</v>
      </c>
      <c r="K1366" s="95">
        <f t="shared" si="349"/>
        <v>19357648.747668002</v>
      </c>
      <c r="L1366" s="95">
        <f t="shared" si="350"/>
        <v>25203113.383583516</v>
      </c>
      <c r="M1366" s="95">
        <f t="shared" si="351"/>
        <v>31855601.122218721</v>
      </c>
    </row>
    <row r="1367" spans="1:15" x14ac:dyDescent="0.25">
      <c r="A1367" s="43">
        <v>3</v>
      </c>
      <c r="B1367" s="200">
        <f>'N CARRILES HCM'!H6</f>
        <v>49.172714999999997</v>
      </c>
      <c r="C1367" s="95">
        <f t="shared" si="346"/>
        <v>21904133.80827672</v>
      </c>
      <c r="D1367" s="95">
        <f t="shared" si="347"/>
        <v>25959206.78509102</v>
      </c>
      <c r="E1367" s="95">
        <f t="shared" si="348"/>
        <v>32811269.155885279</v>
      </c>
      <c r="I1367" s="43">
        <v>3</v>
      </c>
      <c r="J1367" s="200">
        <f>'N CARRILES HCM'!H43</f>
        <v>49.172714999999997</v>
      </c>
      <c r="K1367" s="95">
        <f t="shared" si="349"/>
        <v>19938378.210098039</v>
      </c>
      <c r="L1367" s="95">
        <f t="shared" si="350"/>
        <v>25959206.78509102</v>
      </c>
      <c r="M1367" s="95">
        <f t="shared" si="351"/>
        <v>32811269.155885283</v>
      </c>
    </row>
    <row r="1368" spans="1:15" x14ac:dyDescent="0.25">
      <c r="A1368" s="43">
        <v>4</v>
      </c>
      <c r="B1368" s="200">
        <f>'N CARRILES HCM'!H7</f>
        <v>50.647896449999998</v>
      </c>
      <c r="C1368" s="95">
        <f t="shared" si="346"/>
        <v>22561257.822525021</v>
      </c>
      <c r="D1368" s="95">
        <f t="shared" si="347"/>
        <v>26737982.988643751</v>
      </c>
      <c r="E1368" s="95">
        <f t="shared" si="348"/>
        <v>33795607.230561845</v>
      </c>
      <c r="I1368" s="43">
        <v>4</v>
      </c>
      <c r="J1368" s="200">
        <f>'N CARRILES HCM'!H44</f>
        <v>50.647896449999998</v>
      </c>
      <c r="K1368" s="95">
        <f t="shared" si="349"/>
        <v>20536529.556400985</v>
      </c>
      <c r="L1368" s="95">
        <f t="shared" si="350"/>
        <v>26737982.988643754</v>
      </c>
      <c r="M1368" s="95">
        <f t="shared" si="351"/>
        <v>33795607.230561845</v>
      </c>
    </row>
    <row r="1369" spans="1:15" x14ac:dyDescent="0.25">
      <c r="A1369" s="43">
        <v>5</v>
      </c>
      <c r="B1369" s="200">
        <f>'N CARRILES HCM'!H8</f>
        <v>52.16733334349999</v>
      </c>
      <c r="C1369" s="95">
        <f t="shared" si="346"/>
        <v>23238095.557200767</v>
      </c>
      <c r="D1369" s="95">
        <f t="shared" si="347"/>
        <v>27540122.47830306</v>
      </c>
      <c r="E1369" s="95">
        <f t="shared" si="348"/>
        <v>34809475.447478689</v>
      </c>
      <c r="I1369" s="43">
        <v>5</v>
      </c>
      <c r="J1369" s="200">
        <f>'N CARRILES HCM'!H45</f>
        <v>52.16733334349999</v>
      </c>
      <c r="K1369" s="95">
        <f t="shared" si="349"/>
        <v>21152625.443093009</v>
      </c>
      <c r="L1369" s="95">
        <f t="shared" si="350"/>
        <v>27540122.47830306</v>
      </c>
      <c r="M1369" s="95">
        <f t="shared" si="351"/>
        <v>34809475.447478697</v>
      </c>
    </row>
    <row r="1370" spans="1:15" x14ac:dyDescent="0.25">
      <c r="A1370" s="43">
        <v>6</v>
      </c>
      <c r="B1370" s="200">
        <f>'N CARRILES HCM'!H9</f>
        <v>53.732353343804995</v>
      </c>
      <c r="C1370" s="95">
        <f t="shared" si="346"/>
        <v>23935238.423916794</v>
      </c>
      <c r="D1370" s="95">
        <f t="shared" si="347"/>
        <v>28366326.152652156</v>
      </c>
      <c r="E1370" s="95">
        <f t="shared" si="348"/>
        <v>35853759.710903049</v>
      </c>
      <c r="I1370" s="43">
        <v>6</v>
      </c>
      <c r="J1370" s="200">
        <f>'N CARRILES HCM'!H46</f>
        <v>53.732353343804995</v>
      </c>
      <c r="K1370" s="95">
        <f t="shared" si="349"/>
        <v>21787204.206385802</v>
      </c>
      <c r="L1370" s="95">
        <f t="shared" si="350"/>
        <v>28366326.152652156</v>
      </c>
      <c r="M1370" s="95">
        <f t="shared" si="351"/>
        <v>35853759.710903056</v>
      </c>
    </row>
    <row r="1371" spans="1:15" x14ac:dyDescent="0.25">
      <c r="A1371" s="43">
        <v>7</v>
      </c>
      <c r="B1371" s="200">
        <f>'N CARRILES HCM'!H10</f>
        <v>55.344323944119147</v>
      </c>
      <c r="C1371" s="95">
        <f t="shared" si="346"/>
        <v>24653295.576634299</v>
      </c>
      <c r="D1371" s="95">
        <f t="shared" si="347"/>
        <v>29217315.937231719</v>
      </c>
      <c r="E1371" s="95">
        <f t="shared" si="348"/>
        <v>36929372.502230145</v>
      </c>
      <c r="I1371" s="43">
        <v>7</v>
      </c>
      <c r="J1371" s="200">
        <f>'N CARRILES HCM'!H47</f>
        <v>55.344323944119147</v>
      </c>
      <c r="K1371" s="95">
        <f t="shared" si="349"/>
        <v>22440820.332577378</v>
      </c>
      <c r="L1371" s="95">
        <f t="shared" si="350"/>
        <v>29217315.937231719</v>
      </c>
      <c r="M1371" s="95">
        <f t="shared" si="351"/>
        <v>36929372.502230145</v>
      </c>
    </row>
    <row r="1372" spans="1:15" x14ac:dyDescent="0.25">
      <c r="A1372" s="43">
        <v>8</v>
      </c>
      <c r="B1372" s="200">
        <f>'N CARRILES HCM'!H11</f>
        <v>57.00465366244272</v>
      </c>
      <c r="C1372" s="95">
        <f t="shared" si="346"/>
        <v>25392894.443933327</v>
      </c>
      <c r="D1372" s="95">
        <f t="shared" si="347"/>
        <v>30093835.415348671</v>
      </c>
      <c r="E1372" s="95">
        <f t="shared" si="348"/>
        <v>38037253.677297048</v>
      </c>
      <c r="I1372" s="43">
        <v>8</v>
      </c>
      <c r="J1372" s="200">
        <f>'N CARRILES HCM'!H48</f>
        <v>57.00465366244272</v>
      </c>
      <c r="K1372" s="95">
        <f t="shared" si="349"/>
        <v>23114044.942554701</v>
      </c>
      <c r="L1372" s="95">
        <f t="shared" si="350"/>
        <v>30093835.415348671</v>
      </c>
      <c r="M1372" s="95">
        <f t="shared" si="351"/>
        <v>38037253.677297048</v>
      </c>
    </row>
    <row r="1373" spans="1:15" x14ac:dyDescent="0.25">
      <c r="A1373" s="43">
        <v>9</v>
      </c>
      <c r="B1373" s="200">
        <f>'N CARRILES HCM'!H12</f>
        <v>58.714793272316001</v>
      </c>
      <c r="C1373" s="95">
        <f t="shared" si="346"/>
        <v>26154681.277251326</v>
      </c>
      <c r="D1373" s="95">
        <f t="shared" si="347"/>
        <v>30996650.477809135</v>
      </c>
      <c r="E1373" s="95">
        <f t="shared" si="348"/>
        <v>39178371.287615962</v>
      </c>
      <c r="I1373" s="43">
        <v>9</v>
      </c>
      <c r="J1373" s="200">
        <f>'N CARRILES HCM'!H49</f>
        <v>58.714793272316001</v>
      </c>
      <c r="K1373" s="95">
        <f t="shared" si="349"/>
        <v>23807466.290831339</v>
      </c>
      <c r="L1373" s="95">
        <f t="shared" si="350"/>
        <v>30996650.477809131</v>
      </c>
      <c r="M1373" s="95">
        <f t="shared" si="351"/>
        <v>39178371.287615962</v>
      </c>
    </row>
    <row r="1374" spans="1:15" x14ac:dyDescent="0.25">
      <c r="A1374" s="43">
        <v>10</v>
      </c>
      <c r="B1374" s="200">
        <f>'N CARRILES HCM'!H13</f>
        <v>60.476237070485482</v>
      </c>
      <c r="C1374" s="95">
        <f t="shared" si="346"/>
        <v>26939321.715568867</v>
      </c>
      <c r="D1374" s="95">
        <f t="shared" si="347"/>
        <v>31926549.992143411</v>
      </c>
      <c r="E1374" s="95">
        <f t="shared" si="348"/>
        <v>40353722.426244445</v>
      </c>
      <c r="I1374" s="43">
        <v>10</v>
      </c>
      <c r="J1374" s="200">
        <f>'N CARRILES HCM'!H50</f>
        <v>60.476237070485482</v>
      </c>
      <c r="K1374" s="95">
        <f t="shared" si="349"/>
        <v>24521690.279556282</v>
      </c>
      <c r="L1374" s="95">
        <f t="shared" si="350"/>
        <v>31926549.992143407</v>
      </c>
      <c r="M1374" s="95">
        <f t="shared" si="351"/>
        <v>40353722.426244445</v>
      </c>
    </row>
    <row r="1375" spans="1:15" x14ac:dyDescent="0.25">
      <c r="A1375" s="43">
        <v>11</v>
      </c>
      <c r="B1375" s="200">
        <f>'N CARRILES HCM'!H14</f>
        <v>62.290524182600045</v>
      </c>
      <c r="C1375" s="95">
        <f t="shared" si="346"/>
        <v>27747501.367035929</v>
      </c>
      <c r="D1375" s="95">
        <f t="shared" si="347"/>
        <v>32884346.491907708</v>
      </c>
      <c r="E1375" s="95">
        <f t="shared" si="348"/>
        <v>41564334.099031769</v>
      </c>
      <c r="I1375" s="43">
        <v>11</v>
      </c>
      <c r="J1375" s="200">
        <f>'N CARRILES HCM'!H51</f>
        <v>62.290524182600045</v>
      </c>
      <c r="K1375" s="95">
        <f t="shared" si="349"/>
        <v>25257340.987942968</v>
      </c>
      <c r="L1375" s="95">
        <f t="shared" si="350"/>
        <v>32884346.491907708</v>
      </c>
      <c r="M1375" s="95">
        <f t="shared" si="351"/>
        <v>41564334.099031769</v>
      </c>
    </row>
    <row r="1376" spans="1:15" x14ac:dyDescent="0.25">
      <c r="A1376" s="43">
        <v>12</v>
      </c>
      <c r="B1376" s="200">
        <f>'N CARRILES HCM'!H15</f>
        <v>64.159239908078035</v>
      </c>
      <c r="C1376" s="95">
        <f t="shared" si="346"/>
        <v>28579926.408047006</v>
      </c>
      <c r="D1376" s="95">
        <f t="shared" si="347"/>
        <v>33870876.886664934</v>
      </c>
      <c r="E1376" s="95">
        <f t="shared" si="348"/>
        <v>42811264.122002721</v>
      </c>
      <c r="I1376" s="43">
        <v>12</v>
      </c>
      <c r="J1376" s="200">
        <f>'N CARRILES HCM'!H52</f>
        <v>64.159239908078035</v>
      </c>
      <c r="K1376" s="95">
        <f t="shared" si="349"/>
        <v>26015061.21758125</v>
      </c>
      <c r="L1376" s="95">
        <f t="shared" si="350"/>
        <v>33870876.886664934</v>
      </c>
      <c r="M1376" s="95">
        <f t="shared" si="351"/>
        <v>42811264.122002721</v>
      </c>
    </row>
    <row r="1377" spans="1:13" x14ac:dyDescent="0.25">
      <c r="A1377" s="43">
        <v>13</v>
      </c>
      <c r="B1377" s="200">
        <f>'N CARRILES HCM'!H16</f>
        <v>66.08401710532037</v>
      </c>
      <c r="C1377" s="95">
        <f t="shared" si="346"/>
        <v>29437324.200288411</v>
      </c>
      <c r="D1377" s="95">
        <f t="shared" si="347"/>
        <v>34887003.193264879</v>
      </c>
      <c r="E1377" s="95">
        <f t="shared" si="348"/>
        <v>44095602.045662798</v>
      </c>
      <c r="I1377" s="43">
        <v>13</v>
      </c>
      <c r="J1377" s="200">
        <f>'N CARRILES HCM'!H53</f>
        <v>66.08401710532037</v>
      </c>
      <c r="K1377" s="95">
        <f t="shared" si="349"/>
        <v>26795513.054108687</v>
      </c>
      <c r="L1377" s="95">
        <f t="shared" si="350"/>
        <v>34887003.193264879</v>
      </c>
      <c r="M1377" s="95">
        <f t="shared" si="351"/>
        <v>44095602.045662798</v>
      </c>
    </row>
    <row r="1378" spans="1:13" x14ac:dyDescent="0.25">
      <c r="A1378" s="43">
        <v>14</v>
      </c>
      <c r="B1378" s="200">
        <f>'N CARRILES HCM'!H17</f>
        <v>68.066537618479998</v>
      </c>
      <c r="C1378" s="95">
        <f t="shared" si="346"/>
        <v>31644533.825322058</v>
      </c>
      <c r="D1378" s="95">
        <f t="shared" si="347"/>
        <v>35933613.289062835</v>
      </c>
      <c r="E1378" s="95">
        <f t="shared" si="348"/>
        <v>45418470.107032701</v>
      </c>
      <c r="I1378" s="43">
        <v>14</v>
      </c>
      <c r="J1378" s="200">
        <f>'N CARRILES HCM'!H54</f>
        <v>68.066537618479998</v>
      </c>
      <c r="K1378" s="95">
        <f t="shared" si="349"/>
        <v>27599378.445731953</v>
      </c>
      <c r="L1378" s="95">
        <f t="shared" si="350"/>
        <v>35933613.289062828</v>
      </c>
      <c r="M1378" s="95">
        <f t="shared" si="351"/>
        <v>45418470.107032694</v>
      </c>
    </row>
    <row r="1379" spans="1:13" x14ac:dyDescent="0.25">
      <c r="A1379" s="43">
        <v>15</v>
      </c>
      <c r="B1379" s="200">
        <f>'N CARRILES HCM'!H18</f>
        <v>70.1085337470344</v>
      </c>
      <c r="C1379" s="95">
        <f t="shared" si="346"/>
        <v>32593869.840081725</v>
      </c>
      <c r="D1379" s="95">
        <f t="shared" si="347"/>
        <v>37011621.687734723</v>
      </c>
      <c r="E1379" s="95">
        <f t="shared" si="348"/>
        <v>46781024.21024368</v>
      </c>
      <c r="I1379" s="43">
        <v>15</v>
      </c>
      <c r="J1379" s="200">
        <f>'N CARRILES HCM'!H55</f>
        <v>70.1085337470344</v>
      </c>
      <c r="K1379" s="95">
        <f t="shared" si="349"/>
        <v>28427359.799103912</v>
      </c>
      <c r="L1379" s="95">
        <f t="shared" si="350"/>
        <v>37011621.687734731</v>
      </c>
      <c r="M1379" s="95">
        <f t="shared" si="351"/>
        <v>46781024.210243672</v>
      </c>
    </row>
    <row r="1380" spans="1:13" x14ac:dyDescent="0.25">
      <c r="A1380" s="43">
        <v>16</v>
      </c>
      <c r="B1380" s="200">
        <f>'N CARRILES HCM'!H19</f>
        <v>72.211789759445423</v>
      </c>
      <c r="C1380" s="95">
        <f t="shared" si="346"/>
        <v>33571685.935284175</v>
      </c>
      <c r="D1380" s="95">
        <f t="shared" si="347"/>
        <v>38121970.338366754</v>
      </c>
      <c r="E1380" s="95">
        <f t="shared" si="348"/>
        <v>48184454.936550982</v>
      </c>
      <c r="I1380" s="43">
        <v>16</v>
      </c>
      <c r="J1380" s="200">
        <f>'N CARRILES HCM'!H56</f>
        <v>72.211789759445423</v>
      </c>
      <c r="K1380" s="95">
        <f t="shared" si="349"/>
        <v>29280180.593077023</v>
      </c>
      <c r="L1380" s="95">
        <f t="shared" si="350"/>
        <v>38121970.338366754</v>
      </c>
      <c r="M1380" s="95">
        <f t="shared" si="351"/>
        <v>48184454.936550982</v>
      </c>
    </row>
    <row r="1381" spans="1:13" x14ac:dyDescent="0.25">
      <c r="A1381" s="43">
        <v>17</v>
      </c>
      <c r="B1381" s="200">
        <f>'N CARRILES HCM'!H20</f>
        <v>74.378143452228784</v>
      </c>
      <c r="C1381" s="95">
        <f t="shared" si="346"/>
        <v>34578836.513342693</v>
      </c>
      <c r="D1381" s="95">
        <f t="shared" si="347"/>
        <v>39265629.448517762</v>
      </c>
      <c r="E1381" s="95">
        <f t="shared" si="348"/>
        <v>49629988.584647514</v>
      </c>
      <c r="I1381" s="43">
        <v>17</v>
      </c>
      <c r="J1381" s="200">
        <f>'N CARRILES HCM'!H57</f>
        <v>74.378143452228784</v>
      </c>
      <c r="K1381" s="95">
        <f t="shared" si="349"/>
        <v>30158586.010869335</v>
      </c>
      <c r="L1381" s="95">
        <f t="shared" si="350"/>
        <v>39265629.448517762</v>
      </c>
      <c r="M1381" s="95">
        <f t="shared" si="351"/>
        <v>49629988.584647506</v>
      </c>
    </row>
    <row r="1382" spans="1:13" x14ac:dyDescent="0.25">
      <c r="A1382" s="43">
        <v>18</v>
      </c>
      <c r="B1382" s="200">
        <f>'N CARRILES HCM'!H21</f>
        <v>76.609487755795641</v>
      </c>
      <c r="C1382" s="95">
        <f t="shared" si="346"/>
        <v>35616201.608742975</v>
      </c>
      <c r="D1382" s="95">
        <f t="shared" si="347"/>
        <v>40443598.331973292</v>
      </c>
      <c r="E1382" s="95">
        <f t="shared" si="348"/>
        <v>51118888.242186934</v>
      </c>
      <c r="I1382" s="43">
        <v>18</v>
      </c>
      <c r="J1382" s="200">
        <f>'N CARRILES HCM'!H58</f>
        <v>76.609487755795641</v>
      </c>
      <c r="K1382" s="95">
        <f t="shared" si="349"/>
        <v>31063343.591195416</v>
      </c>
      <c r="L1382" s="95">
        <f t="shared" si="350"/>
        <v>40443598.331973292</v>
      </c>
      <c r="M1382" s="95">
        <f t="shared" si="351"/>
        <v>51118888.242186926</v>
      </c>
    </row>
    <row r="1383" spans="1:13" x14ac:dyDescent="0.25">
      <c r="A1383" s="43">
        <v>19</v>
      </c>
      <c r="B1383" s="200">
        <f>'N CARRILES HCM'!H22</f>
        <v>78.90777238846951</v>
      </c>
      <c r="C1383" s="95">
        <f t="shared" si="346"/>
        <v>36684687.657005265</v>
      </c>
      <c r="D1383" s="95">
        <f t="shared" si="347"/>
        <v>41656906.281932488</v>
      </c>
      <c r="E1383" s="95">
        <f t="shared" si="348"/>
        <v>52652454.889452547</v>
      </c>
      <c r="I1383" s="43">
        <v>19</v>
      </c>
      <c r="J1383" s="200">
        <f>'N CARRILES HCM'!H59</f>
        <v>78.90777238846951</v>
      </c>
      <c r="K1383" s="95">
        <f t="shared" si="349"/>
        <v>31995243.898931276</v>
      </c>
      <c r="L1383" s="95">
        <f t="shared" si="350"/>
        <v>41656906.281932488</v>
      </c>
      <c r="M1383" s="95">
        <f t="shared" si="351"/>
        <v>52652454.889452539</v>
      </c>
    </row>
    <row r="1384" spans="1:13" x14ac:dyDescent="0.25">
      <c r="A1384" s="43">
        <v>20</v>
      </c>
      <c r="B1384" s="200">
        <f>'N CARRILES HCM'!H23</f>
        <v>81.275005560123603</v>
      </c>
      <c r="C1384" s="95">
        <f t="shared" si="346"/>
        <v>37785228.286715426</v>
      </c>
      <c r="D1384" s="95">
        <f t="shared" si="347"/>
        <v>42906613.470390461</v>
      </c>
      <c r="E1384" s="95">
        <f t="shared" si="348"/>
        <v>54232028.536136113</v>
      </c>
      <c r="I1384" s="43">
        <v>20</v>
      </c>
      <c r="J1384" s="200">
        <f>'N CARRILES HCM'!H60</f>
        <v>81.275005560123603</v>
      </c>
      <c r="K1384" s="95">
        <f t="shared" si="349"/>
        <v>32955101.215899222</v>
      </c>
      <c r="L1384" s="95">
        <f t="shared" si="350"/>
        <v>42906613.470390469</v>
      </c>
      <c r="M1384" s="95">
        <f t="shared" si="351"/>
        <v>54232028.536136113</v>
      </c>
    </row>
    <row r="1385" spans="1:13" x14ac:dyDescent="0.25">
      <c r="A1385" s="43">
        <v>21</v>
      </c>
      <c r="B1385" s="200">
        <f>'N CARRILES HCM'!H24</f>
        <v>83.713255726927287</v>
      </c>
      <c r="C1385" s="95">
        <f t="shared" si="346"/>
        <v>38918785.135316871</v>
      </c>
      <c r="D1385" s="95">
        <f t="shared" si="347"/>
        <v>44193811.874502167</v>
      </c>
      <c r="E1385" s="95">
        <f t="shared" si="348"/>
        <v>55858989.392220192</v>
      </c>
      <c r="I1385" s="43">
        <v>21</v>
      </c>
      <c r="J1385" s="200">
        <f>'N CARRILES HCM'!H61</f>
        <v>83.713255726927287</v>
      </c>
      <c r="K1385" s="95">
        <f t="shared" si="349"/>
        <v>33943754.252376184</v>
      </c>
      <c r="L1385" s="95">
        <f t="shared" si="350"/>
        <v>44193811.874502175</v>
      </c>
      <c r="M1385" s="95">
        <f t="shared" si="351"/>
        <v>55858989.392220192</v>
      </c>
    </row>
    <row r="1386" spans="1:13" x14ac:dyDescent="0.25">
      <c r="A1386" s="43">
        <v>22</v>
      </c>
      <c r="B1386" s="200">
        <f>'N CARRILES HCM'!H25</f>
        <v>86.224653398735114</v>
      </c>
      <c r="C1386" s="95">
        <f t="shared" si="346"/>
        <v>40086348.689376384</v>
      </c>
      <c r="D1386" s="95">
        <f t="shared" si="347"/>
        <v>45519626.230737239</v>
      </c>
      <c r="E1386" s="95">
        <f t="shared" si="348"/>
        <v>57534759.073986791</v>
      </c>
      <c r="I1386" s="43">
        <v>22</v>
      </c>
      <c r="J1386" s="200">
        <f>'N CARRILES HCM'!H62</f>
        <v>86.224653398735114</v>
      </c>
      <c r="K1386" s="95">
        <f t="shared" si="349"/>
        <v>34962066.879947476</v>
      </c>
      <c r="L1386" s="95">
        <f t="shared" si="350"/>
        <v>45519626.230737239</v>
      </c>
      <c r="M1386" s="95">
        <f t="shared" si="351"/>
        <v>57534759.073986791</v>
      </c>
    </row>
    <row r="1387" spans="1:13" x14ac:dyDescent="0.25">
      <c r="A1387" s="43">
        <v>23</v>
      </c>
      <c r="B1387" s="200">
        <f>'N CARRILES HCM'!H26</f>
        <v>88.81139300069718</v>
      </c>
      <c r="C1387" s="95">
        <f t="shared" si="346"/>
        <v>41288939.150057688</v>
      </c>
      <c r="D1387" s="95">
        <f t="shared" si="347"/>
        <v>46885215.017659366</v>
      </c>
      <c r="E1387" s="95">
        <f t="shared" si="348"/>
        <v>59260801.846206404</v>
      </c>
      <c r="I1387" s="43">
        <v>23</v>
      </c>
      <c r="J1387" s="200">
        <f>'N CARRILES HCM'!H63</f>
        <v>88.81139300069718</v>
      </c>
      <c r="K1387" s="95">
        <f t="shared" si="349"/>
        <v>36010928.886345901</v>
      </c>
      <c r="L1387" s="95">
        <f t="shared" si="350"/>
        <v>46885215.017659366</v>
      </c>
      <c r="M1387" s="95">
        <f t="shared" si="351"/>
        <v>59260801.846206404</v>
      </c>
    </row>
    <row r="1388" spans="1:13" x14ac:dyDescent="0.25">
      <c r="A1388" s="43">
        <v>24</v>
      </c>
      <c r="B1388" s="200">
        <f>'N CARRILES HCM'!H27</f>
        <v>91.475734790718079</v>
      </c>
      <c r="C1388" s="95">
        <f t="shared" si="346"/>
        <v>42527607.324559405</v>
      </c>
      <c r="D1388" s="95">
        <f t="shared" si="347"/>
        <v>48291771.468189135</v>
      </c>
      <c r="E1388" s="95">
        <f t="shared" si="348"/>
        <v>61038625.901592597</v>
      </c>
      <c r="I1388" s="43">
        <v>24</v>
      </c>
      <c r="J1388" s="200">
        <f>'N CARRILES HCM'!H64</f>
        <v>91.475734790718079</v>
      </c>
      <c r="K1388" s="95">
        <f t="shared" si="349"/>
        <v>37091256.752936274</v>
      </c>
      <c r="L1388" s="95">
        <f t="shared" si="350"/>
        <v>48291771.468189135</v>
      </c>
      <c r="M1388" s="95">
        <f t="shared" si="351"/>
        <v>61038625.901592597</v>
      </c>
    </row>
    <row r="1389" spans="1:13" x14ac:dyDescent="0.25">
      <c r="A1389" s="43">
        <v>25</v>
      </c>
      <c r="B1389" s="200">
        <f>'N CARRILES HCM'!H28</f>
        <v>94.220006834439616</v>
      </c>
      <c r="C1389" s="95">
        <f t="shared" si="346"/>
        <v>43803435.54429619</v>
      </c>
      <c r="D1389" s="95">
        <f t="shared" si="347"/>
        <v>49740524.612234801</v>
      </c>
      <c r="E1389" s="95">
        <f t="shared" si="348"/>
        <v>62869784.678640366</v>
      </c>
      <c r="I1389" s="43">
        <v>25</v>
      </c>
      <c r="J1389" s="200">
        <f>'N CARRILES HCM'!H65</f>
        <v>94.220006834439616</v>
      </c>
      <c r="K1389" s="95">
        <f t="shared" si="349"/>
        <v>38203994.455524355</v>
      </c>
      <c r="L1389" s="95">
        <f t="shared" si="350"/>
        <v>49740524.612234809</v>
      </c>
      <c r="M1389" s="95">
        <f t="shared" si="351"/>
        <v>62869784.678640366</v>
      </c>
    </row>
    <row r="1390" spans="1:13" x14ac:dyDescent="0.25">
      <c r="A1390" s="43">
        <v>26</v>
      </c>
      <c r="B1390" s="200">
        <f>'N CARRILES HCM'!H29</f>
        <v>97.046607039472832</v>
      </c>
      <c r="C1390" s="95">
        <f t="shared" si="346"/>
        <v>45117538.610625088</v>
      </c>
      <c r="D1390" s="95">
        <f t="shared" si="347"/>
        <v>51232740.350601867</v>
      </c>
      <c r="E1390" s="95">
        <f t="shared" si="348"/>
        <v>64755878.218999587</v>
      </c>
      <c r="I1390" s="43">
        <v>26</v>
      </c>
      <c r="J1390" s="200">
        <f>'N CARRILES HCM'!H66</f>
        <v>97.046607039472832</v>
      </c>
      <c r="K1390" s="95">
        <f t="shared" si="349"/>
        <v>39350114.289190099</v>
      </c>
      <c r="L1390" s="95">
        <f t="shared" si="350"/>
        <v>51232740.350601867</v>
      </c>
      <c r="M1390" s="95">
        <f t="shared" si="351"/>
        <v>64755878.218999587</v>
      </c>
    </row>
    <row r="1391" spans="1:13" x14ac:dyDescent="0.25">
      <c r="A1391" s="43">
        <v>27</v>
      </c>
      <c r="B1391" s="200">
        <f>'N CARRILES HCM'!H30</f>
        <v>99.958005250656996</v>
      </c>
      <c r="C1391" s="95">
        <f t="shared" si="346"/>
        <v>46471064.768943831</v>
      </c>
      <c r="D1391" s="95">
        <f t="shared" si="347"/>
        <v>52769722.561119914</v>
      </c>
      <c r="E1391" s="95">
        <f t="shared" si="348"/>
        <v>66698554.565569565</v>
      </c>
      <c r="I1391" s="43">
        <v>27</v>
      </c>
      <c r="J1391" s="200">
        <f>'N CARRILES HCM'!H67</f>
        <v>99.958005250656996</v>
      </c>
      <c r="K1391" s="95">
        <f t="shared" si="349"/>
        <v>40530617.717865795</v>
      </c>
      <c r="L1391" s="95">
        <f t="shared" si="350"/>
        <v>52769722.561119914</v>
      </c>
      <c r="M1391" s="95">
        <f t="shared" si="351"/>
        <v>66698554.565569565</v>
      </c>
    </row>
    <row r="1392" spans="1:13" x14ac:dyDescent="0.25">
      <c r="A1392" s="43">
        <v>28</v>
      </c>
      <c r="B1392" s="200">
        <f>'N CARRILES HCM'!H31</f>
        <v>102.95674540817672</v>
      </c>
      <c r="C1392" s="95">
        <f t="shared" si="346"/>
        <v>47865196.712012149</v>
      </c>
      <c r="D1392" s="95">
        <f t="shared" si="347"/>
        <v>54352814.237953514</v>
      </c>
      <c r="E1392" s="95">
        <f t="shared" si="348"/>
        <v>68699511.202536657</v>
      </c>
      <c r="I1392" s="43">
        <v>28</v>
      </c>
      <c r="J1392" s="200">
        <f>'N CARRILES HCM'!H68</f>
        <v>102.95674540817672</v>
      </c>
      <c r="K1392" s="95">
        <f t="shared" si="349"/>
        <v>41746536.249401771</v>
      </c>
      <c r="L1392" s="95">
        <f t="shared" si="350"/>
        <v>54352814.237953514</v>
      </c>
      <c r="M1392" s="95">
        <f t="shared" si="351"/>
        <v>68699511.202536657</v>
      </c>
    </row>
    <row r="1393" spans="1:14" x14ac:dyDescent="0.25">
      <c r="A1393" s="43">
        <v>29</v>
      </c>
      <c r="B1393" s="200">
        <f>'N CARRILES HCM'!H32</f>
        <v>106.045447770422</v>
      </c>
      <c r="C1393" s="95">
        <f t="shared" si="346"/>
        <v>49301152.613372505</v>
      </c>
      <c r="D1393" s="95">
        <f t="shared" si="347"/>
        <v>55983398.665092111</v>
      </c>
      <c r="E1393" s="95">
        <f t="shared" si="348"/>
        <v>70760496.538612753</v>
      </c>
      <c r="I1393" s="43">
        <v>29</v>
      </c>
      <c r="J1393" s="200">
        <f>'N CARRILES HCM'!H69</f>
        <v>106.045447770422</v>
      </c>
      <c r="K1393" s="95">
        <f t="shared" si="349"/>
        <v>42998932.336883821</v>
      </c>
      <c r="L1393" s="95">
        <f t="shared" si="350"/>
        <v>55983398.665092111</v>
      </c>
      <c r="M1393" s="95">
        <f t="shared" si="351"/>
        <v>70760496.538612738</v>
      </c>
    </row>
    <row r="1394" spans="1:14" x14ac:dyDescent="0.25">
      <c r="A1394" s="43">
        <v>30</v>
      </c>
      <c r="B1394" s="200">
        <f>'N CARRILES HCM'!H33</f>
        <v>109.22681120353467</v>
      </c>
      <c r="C1394" s="95">
        <f t="shared" si="346"/>
        <v>50780187.19177369</v>
      </c>
      <c r="D1394" s="95">
        <f t="shared" si="347"/>
        <v>57662900.625044875</v>
      </c>
      <c r="E1394" s="95">
        <f t="shared" si="348"/>
        <v>72883311.434771135</v>
      </c>
      <c r="I1394" s="43">
        <v>30</v>
      </c>
      <c r="J1394" s="200">
        <f>'N CARRILES HCM'!H70</f>
        <v>109.22681120353467</v>
      </c>
      <c r="K1394" s="95">
        <f t="shared" si="349"/>
        <v>44288900.30699034</v>
      </c>
      <c r="L1394" s="95">
        <f t="shared" si="350"/>
        <v>57662900.625044875</v>
      </c>
      <c r="M1394" s="95">
        <f t="shared" si="351"/>
        <v>72883311.434771135</v>
      </c>
    </row>
    <row r="1395" spans="1:14" x14ac:dyDescent="0.25">
      <c r="A1395" s="43">
        <v>31</v>
      </c>
      <c r="B1395" s="200">
        <f>'N CARRILES HCM'!H34</f>
        <v>112.50361553964072</v>
      </c>
      <c r="C1395" s="95">
        <f t="shared" si="346"/>
        <v>52303592.807526901</v>
      </c>
      <c r="D1395" s="95">
        <f t="shared" si="347"/>
        <v>59392787.64379622</v>
      </c>
      <c r="E1395" s="95">
        <f t="shared" si="348"/>
        <v>75069810.777814284</v>
      </c>
      <c r="I1395" s="43">
        <v>31</v>
      </c>
      <c r="J1395" s="200">
        <f>'N CARRILES HCM'!H71</f>
        <v>112.50361553964072</v>
      </c>
      <c r="K1395" s="95">
        <f t="shared" si="349"/>
        <v>45617567.316200055</v>
      </c>
      <c r="L1395" s="95">
        <f t="shared" si="350"/>
        <v>59392787.643796228</v>
      </c>
      <c r="M1395" s="95">
        <f t="shared" si="351"/>
        <v>75069810.777814284</v>
      </c>
    </row>
    <row r="1396" spans="1:14" x14ac:dyDescent="0.25">
      <c r="A1396" s="43">
        <v>32</v>
      </c>
      <c r="B1396" s="200">
        <f>'N CARRILES HCM'!H35</f>
        <v>115.87872400582992</v>
      </c>
      <c r="C1396" s="95">
        <f t="shared" si="346"/>
        <v>53872700.591752693</v>
      </c>
      <c r="D1396" s="95">
        <f t="shared" si="347"/>
        <v>61174571.273110107</v>
      </c>
      <c r="E1396" s="95">
        <f t="shared" si="348"/>
        <v>77321905.10114868</v>
      </c>
      <c r="I1396" s="43">
        <v>32</v>
      </c>
      <c r="J1396" s="200">
        <f>'N CARRILES HCM'!H72</f>
        <v>115.87872400582992</v>
      </c>
      <c r="K1396" s="95">
        <f t="shared" si="349"/>
        <v>46986094.33568605</v>
      </c>
      <c r="L1396" s="95">
        <f t="shared" si="350"/>
        <v>61174571.273110114</v>
      </c>
      <c r="M1396" s="95">
        <f t="shared" si="351"/>
        <v>77321905.101148695</v>
      </c>
    </row>
    <row r="1397" spans="1:14" x14ac:dyDescent="0.25">
      <c r="A1397" s="239" t="s">
        <v>291</v>
      </c>
      <c r="B1397" s="239"/>
      <c r="C1397" s="239"/>
      <c r="D1397" s="239"/>
      <c r="E1397" s="239"/>
      <c r="F1397" s="239"/>
      <c r="G1397" s="19"/>
      <c r="J1397" t="s">
        <v>287</v>
      </c>
    </row>
    <row r="1398" spans="1:14" x14ac:dyDescent="0.25">
      <c r="A1398" t="s">
        <v>243</v>
      </c>
      <c r="F1398" s="239" t="s">
        <v>247</v>
      </c>
      <c r="G1398" s="239">
        <f>$G$131</f>
        <v>70</v>
      </c>
      <c r="J1398" s="569" t="s">
        <v>246</v>
      </c>
      <c r="K1398" s="569"/>
      <c r="L1398" s="569"/>
      <c r="M1398" s="574" t="s">
        <v>250</v>
      </c>
      <c r="N1398" s="574"/>
    </row>
    <row r="1399" spans="1:14" x14ac:dyDescent="0.25">
      <c r="C1399" s="569" t="s">
        <v>246</v>
      </c>
      <c r="D1399" s="569"/>
      <c r="E1399" s="569"/>
      <c r="I1399" s="43" t="s">
        <v>18</v>
      </c>
      <c r="J1399" s="270" t="s">
        <v>126</v>
      </c>
      <c r="K1399" s="270" t="s">
        <v>90</v>
      </c>
      <c r="L1399" s="270" t="s">
        <v>127</v>
      </c>
      <c r="M1399" s="574"/>
      <c r="N1399" s="574"/>
    </row>
    <row r="1400" spans="1:14" x14ac:dyDescent="0.25">
      <c r="A1400" s="43" t="s">
        <v>18</v>
      </c>
      <c r="B1400" s="43" t="s">
        <v>293</v>
      </c>
      <c r="C1400" s="298" t="s">
        <v>233</v>
      </c>
      <c r="D1400" s="298" t="s">
        <v>234</v>
      </c>
      <c r="E1400" s="298" t="s">
        <v>235</v>
      </c>
      <c r="I1400" s="43">
        <v>0</v>
      </c>
      <c r="J1400" s="95">
        <f>IF($B$20="P",C1364,IF($B$20="L",D1364,IF($B$20="M",E1364)))</f>
        <v>20045385.359999999</v>
      </c>
      <c r="K1400" s="95">
        <f>IF($B$57="P",K1364,IF($B$57="L",L1364,IF($B$57="M",M1364)))</f>
        <v>18246440.520000003</v>
      </c>
      <c r="L1400" s="95">
        <f>IF($B$94="P",C1401,IF($B$94="L",D1401,IF($B$94="M",E1401)))</f>
        <v>41841529.537499994</v>
      </c>
      <c r="M1400" s="299">
        <f>L1400-K1400-J1400</f>
        <v>3549703.6574999914</v>
      </c>
      <c r="N1400" s="70"/>
    </row>
    <row r="1401" spans="1:14" x14ac:dyDescent="0.25">
      <c r="A1401" s="43">
        <v>0</v>
      </c>
      <c r="B1401" s="200">
        <f>'N CARRILES HCM'!H77</f>
        <v>90</v>
      </c>
      <c r="C1401" s="95">
        <f>B1401*365*$G$418*L1327</f>
        <v>41841529.537499994</v>
      </c>
      <c r="D1401" s="95">
        <f>B1401*365*$G$418*M1327</f>
        <v>47512703.145599999</v>
      </c>
      <c r="E1401" s="95">
        <f>B1401*365*$G$418*N1327</f>
        <v>60053918.601600006</v>
      </c>
      <c r="I1401" s="43">
        <v>1</v>
      </c>
      <c r="J1401" s="95">
        <f>IF($B$20="P",C1365,IF($B$20="L",D1365,IF($B$20="M",E1365)))</f>
        <v>20646746.920800004</v>
      </c>
      <c r="K1401" s="95">
        <f t="shared" ref="K1401:K1430" si="352">IF($B$57="P",K1365,IF($B$57="L",L1365,IF($B$57="M",M1365)))</f>
        <v>18793833.735600006</v>
      </c>
      <c r="L1401" s="95">
        <f t="shared" ref="L1401:L1430" si="353">IF($B$94="P",C1402,IF($B$94="L",D1402,IF($B$94="M",E1402)))</f>
        <v>43096775.423625</v>
      </c>
      <c r="M1401" s="300">
        <f t="shared" ref="M1401:M1430" si="354">L1401-K1401-J1401</f>
        <v>3656194.7672249898</v>
      </c>
      <c r="N1401" s="70"/>
    </row>
    <row r="1402" spans="1:14" x14ac:dyDescent="0.25">
      <c r="A1402" s="43">
        <v>1</v>
      </c>
      <c r="B1402" s="200">
        <f>'N CARRILES HCM'!H78</f>
        <v>92.7</v>
      </c>
      <c r="C1402" s="95">
        <f t="shared" ref="C1402:C1431" si="355">B1402*365*$G$418*L1328</f>
        <v>43096775.423625</v>
      </c>
      <c r="D1402" s="95">
        <f t="shared" ref="D1402:D1431" si="356">B1402*365*$G$418*M1328</f>
        <v>48938084.239967994</v>
      </c>
      <c r="E1402" s="95">
        <f t="shared" ref="E1402:E1431" si="357">B1402*365*$G$418*N1328</f>
        <v>61855536.159648001</v>
      </c>
      <c r="I1402" s="43">
        <v>2</v>
      </c>
      <c r="J1402" s="95">
        <f t="shared" ref="J1402:J1429" si="358">IF($B$20="P",C1366,IF($B$20="L",D1366,IF($B$20="M",E1366)))</f>
        <v>21266149.328423999</v>
      </c>
      <c r="K1402" s="95">
        <f t="shared" si="352"/>
        <v>19357648.747668002</v>
      </c>
      <c r="L1402" s="95">
        <f t="shared" si="353"/>
        <v>44389678.686333746</v>
      </c>
      <c r="M1402" s="300">
        <f t="shared" si="354"/>
        <v>3765880.6102417447</v>
      </c>
      <c r="N1402" s="70"/>
    </row>
    <row r="1403" spans="1:14" x14ac:dyDescent="0.25">
      <c r="A1403" s="43">
        <v>2</v>
      </c>
      <c r="B1403" s="200">
        <f>'N CARRILES HCM'!H79</f>
        <v>95.480999999999995</v>
      </c>
      <c r="C1403" s="95">
        <f t="shared" si="355"/>
        <v>44389678.686333746</v>
      </c>
      <c r="D1403" s="95">
        <f t="shared" si="356"/>
        <v>50406226.767167032</v>
      </c>
      <c r="E1403" s="95">
        <f t="shared" si="357"/>
        <v>63711202.244437441</v>
      </c>
      <c r="I1403" s="43">
        <v>3</v>
      </c>
      <c r="J1403" s="95">
        <f t="shared" si="358"/>
        <v>21904133.80827672</v>
      </c>
      <c r="K1403" s="95">
        <f t="shared" si="352"/>
        <v>19938378.210098039</v>
      </c>
      <c r="L1403" s="95">
        <f t="shared" si="353"/>
        <v>45721369.046923764</v>
      </c>
      <c r="M1403" s="300">
        <f t="shared" si="354"/>
        <v>3878857.0285490043</v>
      </c>
      <c r="N1403" s="70"/>
    </row>
    <row r="1404" spans="1:14" x14ac:dyDescent="0.25">
      <c r="A1404" s="43">
        <v>3</v>
      </c>
      <c r="B1404" s="200">
        <f>'N CARRILES HCM'!H80</f>
        <v>98.345429999999993</v>
      </c>
      <c r="C1404" s="95">
        <f t="shared" si="355"/>
        <v>45721369.046923764</v>
      </c>
      <c r="D1404" s="95">
        <f t="shared" si="356"/>
        <v>51918413.570182048</v>
      </c>
      <c r="E1404" s="95">
        <f t="shared" si="357"/>
        <v>65622538.311770573</v>
      </c>
      <c r="I1404" s="43">
        <v>4</v>
      </c>
      <c r="J1404" s="95">
        <f t="shared" si="358"/>
        <v>22561257.822525021</v>
      </c>
      <c r="K1404" s="95">
        <f t="shared" si="352"/>
        <v>20536529.556400985</v>
      </c>
      <c r="L1404" s="95">
        <f t="shared" si="353"/>
        <v>47093010.118331462</v>
      </c>
      <c r="M1404" s="300">
        <f t="shared" si="354"/>
        <v>3995222.7394054569</v>
      </c>
      <c r="N1404" s="70"/>
    </row>
    <row r="1405" spans="1:14" x14ac:dyDescent="0.25">
      <c r="A1405" s="43">
        <v>4</v>
      </c>
      <c r="B1405" s="200">
        <f>'N CARRILES HCM'!H81</f>
        <v>101.2957929</v>
      </c>
      <c r="C1405" s="95">
        <f t="shared" si="355"/>
        <v>47093010.118331462</v>
      </c>
      <c r="D1405" s="95">
        <f t="shared" si="356"/>
        <v>53475965.977287501</v>
      </c>
      <c r="E1405" s="95">
        <f t="shared" si="357"/>
        <v>67591214.461123675</v>
      </c>
      <c r="I1405" s="43">
        <v>5</v>
      </c>
      <c r="J1405" s="95">
        <f t="shared" si="358"/>
        <v>23238095.557200767</v>
      </c>
      <c r="K1405" s="95">
        <f t="shared" si="352"/>
        <v>21152625.443093009</v>
      </c>
      <c r="L1405" s="95">
        <f t="shared" si="353"/>
        <v>48505800.421881415</v>
      </c>
      <c r="M1405" s="300">
        <f t="shared" si="354"/>
        <v>4115079.4215876386</v>
      </c>
      <c r="N1405" s="70"/>
    </row>
    <row r="1406" spans="1:14" x14ac:dyDescent="0.25">
      <c r="A1406" s="43">
        <v>5</v>
      </c>
      <c r="B1406" s="200">
        <f>'N CARRILES HCM'!H82</f>
        <v>104.33466668699998</v>
      </c>
      <c r="C1406" s="95">
        <f t="shared" si="355"/>
        <v>48505800.421881415</v>
      </c>
      <c r="D1406" s="95">
        <f t="shared" si="356"/>
        <v>55080244.956606135</v>
      </c>
      <c r="E1406" s="95">
        <f t="shared" si="357"/>
        <v>69618950.894957393</v>
      </c>
      <c r="I1406" s="43">
        <v>6</v>
      </c>
      <c r="J1406" s="95">
        <f t="shared" si="358"/>
        <v>23935238.423916794</v>
      </c>
      <c r="K1406" s="95">
        <f t="shared" si="352"/>
        <v>21787204.206385802</v>
      </c>
      <c r="L1406" s="95">
        <f t="shared" si="353"/>
        <v>49960974.434537858</v>
      </c>
      <c r="M1406" s="300">
        <f t="shared" si="354"/>
        <v>4238531.8042352609</v>
      </c>
      <c r="N1406" s="70"/>
    </row>
    <row r="1407" spans="1:14" x14ac:dyDescent="0.25">
      <c r="A1407" s="43">
        <v>6</v>
      </c>
      <c r="B1407" s="200">
        <f>'N CARRILES HCM'!H83</f>
        <v>107.46470668760999</v>
      </c>
      <c r="C1407" s="95">
        <f t="shared" si="355"/>
        <v>49960974.434537858</v>
      </c>
      <c r="D1407" s="95">
        <f t="shared" si="356"/>
        <v>56732652.305304319</v>
      </c>
      <c r="E1407" s="95">
        <f t="shared" si="357"/>
        <v>71707519.421806112</v>
      </c>
      <c r="I1407" s="43">
        <v>7</v>
      </c>
      <c r="J1407" s="95">
        <f t="shared" si="358"/>
        <v>24653295.576634299</v>
      </c>
      <c r="K1407" s="95">
        <f t="shared" si="352"/>
        <v>22440820.332577378</v>
      </c>
      <c r="L1407" s="95">
        <f t="shared" si="353"/>
        <v>51459803.667573988</v>
      </c>
      <c r="M1407" s="300">
        <f t="shared" si="354"/>
        <v>4365687.7583623119</v>
      </c>
      <c r="N1407" s="70"/>
    </row>
    <row r="1408" spans="1:14" x14ac:dyDescent="0.25">
      <c r="A1408" s="43">
        <v>7</v>
      </c>
      <c r="B1408" s="200">
        <f>'N CARRILES HCM'!H84</f>
        <v>110.68864788823829</v>
      </c>
      <c r="C1408" s="95">
        <f t="shared" si="355"/>
        <v>51459803.667573988</v>
      </c>
      <c r="D1408" s="95">
        <f t="shared" si="356"/>
        <v>58434631.874463439</v>
      </c>
      <c r="E1408" s="95">
        <f t="shared" si="357"/>
        <v>73858745.00446029</v>
      </c>
      <c r="I1408" s="43">
        <v>8</v>
      </c>
      <c r="J1408" s="95">
        <f t="shared" si="358"/>
        <v>25392894.443933327</v>
      </c>
      <c r="K1408" s="95">
        <f t="shared" si="352"/>
        <v>23114044.942554701</v>
      </c>
      <c r="L1408" s="95">
        <f t="shared" si="353"/>
        <v>53003597.777601212</v>
      </c>
      <c r="M1408" s="300">
        <f t="shared" si="354"/>
        <v>4496658.3911131844</v>
      </c>
      <c r="N1408" s="70"/>
    </row>
    <row r="1409" spans="1:14" x14ac:dyDescent="0.25">
      <c r="A1409" s="43">
        <v>8</v>
      </c>
      <c r="B1409" s="200">
        <f>'N CARRILES HCM'!H85</f>
        <v>114.00930732488544</v>
      </c>
      <c r="C1409" s="95">
        <f t="shared" si="355"/>
        <v>53003597.777601212</v>
      </c>
      <c r="D1409" s="95">
        <f t="shared" si="356"/>
        <v>60187670.83069735</v>
      </c>
      <c r="E1409" s="95">
        <f t="shared" si="357"/>
        <v>76074507.354594111</v>
      </c>
      <c r="I1409" s="43">
        <v>9</v>
      </c>
      <c r="J1409" s="95">
        <f t="shared" si="358"/>
        <v>26154681.277251326</v>
      </c>
      <c r="K1409" s="95">
        <f t="shared" si="352"/>
        <v>23807466.290831339</v>
      </c>
      <c r="L1409" s="95">
        <f t="shared" si="353"/>
        <v>54593705.710929245</v>
      </c>
      <c r="M1409" s="300">
        <f t="shared" si="354"/>
        <v>4631558.1428465806</v>
      </c>
      <c r="N1409" s="70"/>
    </row>
    <row r="1410" spans="1:14" x14ac:dyDescent="0.25">
      <c r="A1410" s="43">
        <v>9</v>
      </c>
      <c r="B1410" s="200">
        <f>'N CARRILES HCM'!H86</f>
        <v>117.429586544632</v>
      </c>
      <c r="C1410" s="95">
        <f t="shared" si="355"/>
        <v>54593705.710929245</v>
      </c>
      <c r="D1410" s="95">
        <f t="shared" si="356"/>
        <v>61993300.95561827</v>
      </c>
      <c r="E1410" s="95">
        <f t="shared" si="357"/>
        <v>78356742.575231925</v>
      </c>
      <c r="I1410" s="43">
        <v>10</v>
      </c>
      <c r="J1410" s="95">
        <f t="shared" si="358"/>
        <v>26939321.715568867</v>
      </c>
      <c r="K1410" s="95">
        <f t="shared" si="352"/>
        <v>24521690.279556282</v>
      </c>
      <c r="L1410" s="95">
        <f t="shared" si="353"/>
        <v>56231516.882257126</v>
      </c>
      <c r="M1410" s="300">
        <f t="shared" si="354"/>
        <v>4770504.8871319778</v>
      </c>
      <c r="N1410" s="70"/>
    </row>
    <row r="1411" spans="1:14" x14ac:dyDescent="0.25">
      <c r="A1411" s="43">
        <v>10</v>
      </c>
      <c r="B1411" s="200">
        <f>'N CARRILES HCM'!H87</f>
        <v>120.95247414097096</v>
      </c>
      <c r="C1411" s="95">
        <f t="shared" si="355"/>
        <v>56231516.882257126</v>
      </c>
      <c r="D1411" s="95">
        <f t="shared" si="356"/>
        <v>63853099.984286822</v>
      </c>
      <c r="E1411" s="95">
        <f t="shared" si="357"/>
        <v>80707444.85248889</v>
      </c>
      <c r="I1411" s="43">
        <v>11</v>
      </c>
      <c r="J1411" s="95">
        <f t="shared" si="358"/>
        <v>27747501.367035929</v>
      </c>
      <c r="K1411" s="95">
        <f t="shared" si="352"/>
        <v>25257340.987942968</v>
      </c>
      <c r="L1411" s="95">
        <f t="shared" si="353"/>
        <v>57918462.388724841</v>
      </c>
      <c r="M1411" s="300">
        <f t="shared" si="354"/>
        <v>4913620.0337459445</v>
      </c>
      <c r="N1411" s="70"/>
    </row>
    <row r="1412" spans="1:14" x14ac:dyDescent="0.25">
      <c r="A1412" s="43">
        <v>11</v>
      </c>
      <c r="B1412" s="200">
        <f>'N CARRILES HCM'!H88</f>
        <v>124.58104836520009</v>
      </c>
      <c r="C1412" s="95">
        <f t="shared" si="355"/>
        <v>57918462.388724841</v>
      </c>
      <c r="D1412" s="95">
        <f t="shared" si="356"/>
        <v>65768692.983815424</v>
      </c>
      <c r="E1412" s="95">
        <f t="shared" si="357"/>
        <v>83128668.198063552</v>
      </c>
      <c r="I1412" s="43">
        <v>12</v>
      </c>
      <c r="J1412" s="95">
        <f t="shared" si="358"/>
        <v>28579926.408047006</v>
      </c>
      <c r="K1412" s="95">
        <f t="shared" si="352"/>
        <v>26015061.21758125</v>
      </c>
      <c r="L1412" s="95">
        <f t="shared" si="353"/>
        <v>64510939.656625338</v>
      </c>
      <c r="M1412" s="300">
        <f t="shared" si="354"/>
        <v>9915952.0309970826</v>
      </c>
      <c r="N1412" s="70"/>
    </row>
    <row r="1413" spans="1:14" x14ac:dyDescent="0.25">
      <c r="A1413" s="43">
        <v>12</v>
      </c>
      <c r="B1413" s="200">
        <f>'N CARRILES HCM'!H89</f>
        <v>128.31847981615607</v>
      </c>
      <c r="C1413" s="95">
        <f t="shared" si="355"/>
        <v>64510939.656625338</v>
      </c>
      <c r="D1413" s="95">
        <f t="shared" si="356"/>
        <v>67741753.773329869</v>
      </c>
      <c r="E1413" s="95">
        <f t="shared" si="357"/>
        <v>85622528.244005442</v>
      </c>
      <c r="I1413" s="43">
        <v>13</v>
      </c>
      <c r="J1413" s="95">
        <f t="shared" si="358"/>
        <v>29437324.200288411</v>
      </c>
      <c r="K1413" s="95">
        <f t="shared" si="352"/>
        <v>26795513.054108687</v>
      </c>
      <c r="L1413" s="95">
        <f t="shared" si="353"/>
        <v>66446267.846324086</v>
      </c>
      <c r="M1413" s="300">
        <f t="shared" si="354"/>
        <v>10213430.591926988</v>
      </c>
      <c r="N1413" s="70"/>
    </row>
    <row r="1414" spans="1:14" x14ac:dyDescent="0.25">
      <c r="A1414" s="43">
        <v>13</v>
      </c>
      <c r="B1414" s="200">
        <f>'N CARRILES HCM'!H90</f>
        <v>132.16803421064074</v>
      </c>
      <c r="C1414" s="95">
        <f t="shared" si="355"/>
        <v>66446267.846324086</v>
      </c>
      <c r="D1414" s="95">
        <f t="shared" si="356"/>
        <v>69774006.386529759</v>
      </c>
      <c r="E1414" s="95">
        <f t="shared" si="357"/>
        <v>88191204.091325596</v>
      </c>
      <c r="I1414" s="43">
        <v>14</v>
      </c>
      <c r="J1414" s="95">
        <f t="shared" si="358"/>
        <v>31644533.825322058</v>
      </c>
      <c r="K1414" s="95">
        <f t="shared" si="352"/>
        <v>27599378.445731953</v>
      </c>
      <c r="L1414" s="95">
        <f t="shared" si="353"/>
        <v>68439655.881713822</v>
      </c>
      <c r="M1414" s="300">
        <f t="shared" si="354"/>
        <v>9195743.6106598116</v>
      </c>
      <c r="N1414" s="70"/>
    </row>
    <row r="1415" spans="1:14" x14ac:dyDescent="0.25">
      <c r="A1415" s="43">
        <v>14</v>
      </c>
      <c r="B1415" s="200">
        <f>'N CARRILES HCM'!H91</f>
        <v>136.13307523696</v>
      </c>
      <c r="C1415" s="95">
        <f t="shared" si="355"/>
        <v>68439655.881713822</v>
      </c>
      <c r="D1415" s="95">
        <f t="shared" si="356"/>
        <v>71867226.578125656</v>
      </c>
      <c r="E1415" s="95">
        <f t="shared" si="357"/>
        <v>90836940.214065373</v>
      </c>
      <c r="I1415" s="43">
        <v>15</v>
      </c>
      <c r="J1415" s="95">
        <f t="shared" si="358"/>
        <v>32593869.840081725</v>
      </c>
      <c r="K1415" s="95">
        <f t="shared" si="352"/>
        <v>28427359.799103912</v>
      </c>
      <c r="L1415" s="95">
        <f t="shared" si="353"/>
        <v>70492845.558165237</v>
      </c>
      <c r="M1415" s="300">
        <f t="shared" si="354"/>
        <v>9471615.9189795963</v>
      </c>
      <c r="N1415" s="70"/>
    </row>
    <row r="1416" spans="1:14" x14ac:dyDescent="0.25">
      <c r="A1416" s="43">
        <v>15</v>
      </c>
      <c r="B1416" s="200">
        <f>'N CARRILES HCM'!H92</f>
        <v>140.2170674940688</v>
      </c>
      <c r="C1416" s="95">
        <f t="shared" si="355"/>
        <v>70492845.558165237</v>
      </c>
      <c r="D1416" s="95">
        <f t="shared" si="356"/>
        <v>74023243.375469446</v>
      </c>
      <c r="E1416" s="95">
        <f t="shared" si="357"/>
        <v>93562048.420487359</v>
      </c>
      <c r="I1416" s="43">
        <v>16</v>
      </c>
      <c r="J1416" s="95">
        <f t="shared" si="358"/>
        <v>33571685.935284175</v>
      </c>
      <c r="K1416" s="95">
        <f t="shared" si="352"/>
        <v>29280180.593077023</v>
      </c>
      <c r="L1416" s="95">
        <f t="shared" si="353"/>
        <v>72607630.924910188</v>
      </c>
      <c r="M1416" s="300">
        <f t="shared" si="354"/>
        <v>9755764.3965489939</v>
      </c>
      <c r="N1416" s="70"/>
    </row>
    <row r="1417" spans="1:14" x14ac:dyDescent="0.25">
      <c r="A1417" s="43">
        <v>16</v>
      </c>
      <c r="B1417" s="200">
        <f>'N CARRILES HCM'!H93</f>
        <v>144.42357951889085</v>
      </c>
      <c r="C1417" s="95">
        <f t="shared" si="355"/>
        <v>72607630.924910188</v>
      </c>
      <c r="D1417" s="95">
        <f t="shared" si="356"/>
        <v>76243940.676733509</v>
      </c>
      <c r="E1417" s="95">
        <f t="shared" si="357"/>
        <v>96368909.873101965</v>
      </c>
      <c r="I1417" s="43">
        <v>17</v>
      </c>
      <c r="J1417" s="95">
        <f t="shared" si="358"/>
        <v>34578836.513342693</v>
      </c>
      <c r="K1417" s="95">
        <f t="shared" si="352"/>
        <v>30158586.010869335</v>
      </c>
      <c r="L1417" s="95">
        <f t="shared" si="353"/>
        <v>74785859.852657497</v>
      </c>
      <c r="M1417" s="300">
        <f t="shared" si="354"/>
        <v>10048437.328445464</v>
      </c>
      <c r="N1417" s="70"/>
    </row>
    <row r="1418" spans="1:14" x14ac:dyDescent="0.25">
      <c r="A1418" s="43">
        <v>17</v>
      </c>
      <c r="B1418" s="200">
        <f>'N CARRILES HCM'!H94</f>
        <v>148.75628690445757</v>
      </c>
      <c r="C1418" s="95">
        <f t="shared" si="355"/>
        <v>74785859.852657497</v>
      </c>
      <c r="D1418" s="95">
        <f t="shared" si="356"/>
        <v>78531258.897035524</v>
      </c>
      <c r="E1418" s="95">
        <f t="shared" si="357"/>
        <v>99259977.169295013</v>
      </c>
      <c r="I1418" s="43">
        <v>18</v>
      </c>
      <c r="J1418" s="95">
        <f t="shared" si="358"/>
        <v>35616201.608742975</v>
      </c>
      <c r="K1418" s="95">
        <f t="shared" si="352"/>
        <v>31063343.591195416</v>
      </c>
      <c r="L1418" s="95">
        <f t="shared" si="353"/>
        <v>77029435.648237213</v>
      </c>
      <c r="M1418" s="300">
        <f t="shared" si="354"/>
        <v>10349890.448298819</v>
      </c>
      <c r="N1418" s="70"/>
    </row>
    <row r="1419" spans="1:14" x14ac:dyDescent="0.25">
      <c r="A1419" s="43">
        <v>18</v>
      </c>
      <c r="B1419" s="200">
        <f>'N CARRILES HCM'!H95</f>
        <v>153.21897551159128</v>
      </c>
      <c r="C1419" s="95">
        <f t="shared" si="355"/>
        <v>77029435.648237213</v>
      </c>
      <c r="D1419" s="95">
        <f t="shared" si="356"/>
        <v>80887196.663946584</v>
      </c>
      <c r="E1419" s="95">
        <f t="shared" si="357"/>
        <v>102237776.48437385</v>
      </c>
      <c r="I1419" s="43">
        <v>19</v>
      </c>
      <c r="J1419" s="95">
        <f t="shared" si="358"/>
        <v>36684687.657005265</v>
      </c>
      <c r="K1419" s="95">
        <f t="shared" si="352"/>
        <v>31995243.898931276</v>
      </c>
      <c r="L1419" s="95">
        <f t="shared" si="353"/>
        <v>79340318.717684329</v>
      </c>
      <c r="M1419" s="300">
        <f t="shared" si="354"/>
        <v>10660387.161747783</v>
      </c>
      <c r="N1419" s="70"/>
    </row>
    <row r="1420" spans="1:14" x14ac:dyDescent="0.25">
      <c r="A1420" s="43">
        <v>19</v>
      </c>
      <c r="B1420" s="200">
        <f>'N CARRILES HCM'!H96</f>
        <v>157.81554477693902</v>
      </c>
      <c r="C1420" s="95">
        <f t="shared" si="355"/>
        <v>79340318.717684329</v>
      </c>
      <c r="D1420" s="95">
        <f t="shared" si="356"/>
        <v>83313812.563864976</v>
      </c>
      <c r="E1420" s="95">
        <f t="shared" si="357"/>
        <v>105304909.77890508</v>
      </c>
      <c r="I1420" s="43">
        <v>20</v>
      </c>
      <c r="J1420" s="95">
        <f t="shared" si="358"/>
        <v>37785228.286715426</v>
      </c>
      <c r="K1420" s="95">
        <f t="shared" si="352"/>
        <v>32955101.215899222</v>
      </c>
      <c r="L1420" s="95">
        <f t="shared" si="353"/>
        <v>81720528.279214859</v>
      </c>
      <c r="M1420" s="300">
        <f t="shared" si="354"/>
        <v>10980198.776600212</v>
      </c>
      <c r="N1420" s="70"/>
    </row>
    <row r="1421" spans="1:14" x14ac:dyDescent="0.25">
      <c r="A1421" s="43">
        <v>20</v>
      </c>
      <c r="B1421" s="200">
        <f>'N CARRILES HCM'!H97</f>
        <v>162.55001112024721</v>
      </c>
      <c r="C1421" s="95">
        <f t="shared" si="355"/>
        <v>81720528.279214859</v>
      </c>
      <c r="D1421" s="95">
        <f t="shared" si="356"/>
        <v>85813226.940780923</v>
      </c>
      <c r="E1421" s="95">
        <f t="shared" si="357"/>
        <v>108464057.07227223</v>
      </c>
      <c r="I1421" s="43">
        <v>21</v>
      </c>
      <c r="J1421" s="95">
        <f t="shared" si="358"/>
        <v>38918785.135316871</v>
      </c>
      <c r="K1421" s="95">
        <f t="shared" si="352"/>
        <v>33943754.252376184</v>
      </c>
      <c r="L1421" s="95">
        <f t="shared" si="353"/>
        <v>84172144.127591282</v>
      </c>
      <c r="M1421" s="300">
        <f t="shared" si="354"/>
        <v>11309604.739898227</v>
      </c>
      <c r="N1421" s="70"/>
    </row>
    <row r="1422" spans="1:14" x14ac:dyDescent="0.25">
      <c r="A1422" s="43">
        <v>21</v>
      </c>
      <c r="B1422" s="200">
        <f>'N CARRILES HCM'!H98</f>
        <v>167.42651145385457</v>
      </c>
      <c r="C1422" s="95">
        <f t="shared" si="355"/>
        <v>84172144.127591282</v>
      </c>
      <c r="D1422" s="95">
        <f t="shared" si="356"/>
        <v>88387623.749004334</v>
      </c>
      <c r="E1422" s="95">
        <f t="shared" si="357"/>
        <v>111717978.78444037</v>
      </c>
      <c r="I1422" s="43">
        <v>22</v>
      </c>
      <c r="J1422" s="95">
        <f t="shared" si="358"/>
        <v>40086348.689376384</v>
      </c>
      <c r="K1422" s="95">
        <f t="shared" si="352"/>
        <v>34962066.879947476</v>
      </c>
      <c r="L1422" s="95">
        <f t="shared" si="353"/>
        <v>86697308.451419026</v>
      </c>
      <c r="M1422" s="300">
        <f t="shared" si="354"/>
        <v>11648892.882095166</v>
      </c>
      <c r="N1422" s="70"/>
    </row>
    <row r="1423" spans="1:14" x14ac:dyDescent="0.25">
      <c r="A1423" s="43">
        <v>22</v>
      </c>
      <c r="B1423" s="200">
        <f>'N CARRILES HCM'!H99</f>
        <v>172.44930679747023</v>
      </c>
      <c r="C1423" s="95">
        <f t="shared" si="355"/>
        <v>86697308.451419026</v>
      </c>
      <c r="D1423" s="95">
        <f t="shared" si="356"/>
        <v>91039252.461474478</v>
      </c>
      <c r="E1423" s="95">
        <f t="shared" si="357"/>
        <v>115069518.14797358</v>
      </c>
      <c r="I1423" s="43">
        <v>23</v>
      </c>
      <c r="J1423" s="95">
        <f t="shared" si="358"/>
        <v>41288939.150057688</v>
      </c>
      <c r="K1423" s="95">
        <f t="shared" si="352"/>
        <v>36010928.886345901</v>
      </c>
      <c r="L1423" s="95">
        <f t="shared" si="353"/>
        <v>89298227.704961613</v>
      </c>
      <c r="M1423" s="300">
        <f t="shared" si="354"/>
        <v>11998359.668558024</v>
      </c>
      <c r="N1423" s="70"/>
    </row>
    <row r="1424" spans="1:14" x14ac:dyDescent="0.25">
      <c r="A1424" s="43">
        <v>23</v>
      </c>
      <c r="B1424" s="200">
        <f>'N CARRILES HCM'!H100</f>
        <v>177.62278600139436</v>
      </c>
      <c r="C1424" s="95">
        <f t="shared" si="355"/>
        <v>89298227.704961613</v>
      </c>
      <c r="D1424" s="95">
        <f t="shared" si="356"/>
        <v>93770430.035318717</v>
      </c>
      <c r="E1424" s="95">
        <f t="shared" si="357"/>
        <v>118521603.69241281</v>
      </c>
      <c r="I1424" s="43">
        <v>24</v>
      </c>
      <c r="J1424" s="95">
        <f t="shared" si="358"/>
        <v>42527607.324559405</v>
      </c>
      <c r="K1424" s="95">
        <f t="shared" si="352"/>
        <v>37091256.752936274</v>
      </c>
      <c r="L1424" s="95">
        <f t="shared" si="353"/>
        <v>91977174.536110431</v>
      </c>
      <c r="M1424" s="300">
        <f t="shared" si="354"/>
        <v>12358310.458614752</v>
      </c>
      <c r="N1424" s="70"/>
    </row>
    <row r="1425" spans="1:14" x14ac:dyDescent="0.25">
      <c r="A1425" s="43">
        <v>24</v>
      </c>
      <c r="B1425" s="200">
        <f>'N CARRILES HCM'!H101</f>
        <v>182.95146958143616</v>
      </c>
      <c r="C1425" s="95">
        <f t="shared" si="355"/>
        <v>91977174.536110431</v>
      </c>
      <c r="D1425" s="95">
        <f t="shared" si="356"/>
        <v>96583542.936378255</v>
      </c>
      <c r="E1425" s="95">
        <f t="shared" si="357"/>
        <v>122077251.80318516</v>
      </c>
      <c r="I1425" s="43">
        <v>25</v>
      </c>
      <c r="J1425" s="95">
        <f t="shared" si="358"/>
        <v>43803435.54429619</v>
      </c>
      <c r="K1425" s="95">
        <f t="shared" si="352"/>
        <v>38203994.455524355</v>
      </c>
      <c r="L1425" s="95">
        <f t="shared" si="353"/>
        <v>94736489.77219376</v>
      </c>
      <c r="M1425" s="300">
        <f t="shared" si="354"/>
        <v>12729059.772373214</v>
      </c>
      <c r="N1425" s="70"/>
    </row>
    <row r="1426" spans="1:14" x14ac:dyDescent="0.25">
      <c r="A1426" s="43">
        <v>25</v>
      </c>
      <c r="B1426" s="200">
        <f>'N CARRILES HCM'!H102</f>
        <v>188.44001366887923</v>
      </c>
      <c r="C1426" s="95">
        <f t="shared" si="355"/>
        <v>94736489.77219376</v>
      </c>
      <c r="D1426" s="95">
        <f t="shared" si="356"/>
        <v>99481049.224469617</v>
      </c>
      <c r="E1426" s="95">
        <f t="shared" si="357"/>
        <v>125739569.35728073</v>
      </c>
      <c r="I1426" s="43">
        <v>26</v>
      </c>
      <c r="J1426" s="95">
        <f t="shared" si="358"/>
        <v>45117538.610625088</v>
      </c>
      <c r="K1426" s="95">
        <f t="shared" si="352"/>
        <v>39350114.289190099</v>
      </c>
      <c r="L1426" s="95">
        <f t="shared" si="353"/>
        <v>97578584.465359613</v>
      </c>
      <c r="M1426" s="300">
        <f t="shared" si="354"/>
        <v>13110931.565544426</v>
      </c>
      <c r="N1426" s="70"/>
    </row>
    <row r="1427" spans="1:14" x14ac:dyDescent="0.25">
      <c r="A1427" s="43">
        <v>26</v>
      </c>
      <c r="B1427" s="200">
        <f>'N CARRILES HCM'!H103</f>
        <v>194.09321407894566</v>
      </c>
      <c r="C1427" s="95">
        <f t="shared" si="355"/>
        <v>97578584.465359613</v>
      </c>
      <c r="D1427" s="95">
        <f t="shared" si="356"/>
        <v>102465480.70120375</v>
      </c>
      <c r="E1427" s="95">
        <f t="shared" si="357"/>
        <v>129511756.4379992</v>
      </c>
      <c r="I1427" s="43">
        <v>27</v>
      </c>
      <c r="J1427" s="95">
        <f t="shared" si="358"/>
        <v>46471064.768943831</v>
      </c>
      <c r="K1427" s="95">
        <f t="shared" si="352"/>
        <v>40530617.717865795</v>
      </c>
      <c r="L1427" s="95">
        <f t="shared" si="353"/>
        <v>100505941.99932036</v>
      </c>
      <c r="M1427" s="300">
        <f t="shared" si="354"/>
        <v>13504259.512510732</v>
      </c>
      <c r="N1427" s="70"/>
    </row>
    <row r="1428" spans="1:14" x14ac:dyDescent="0.25">
      <c r="A1428" s="43">
        <v>27</v>
      </c>
      <c r="B1428" s="200">
        <f>'N CARRILES HCM'!H104</f>
        <v>199.91601050131399</v>
      </c>
      <c r="C1428" s="95">
        <f t="shared" si="355"/>
        <v>100505941.99932036</v>
      </c>
      <c r="D1428" s="95">
        <f t="shared" si="356"/>
        <v>105539445.12223981</v>
      </c>
      <c r="E1428" s="95">
        <f t="shared" si="357"/>
        <v>133397109.13113913</v>
      </c>
      <c r="I1428" s="43">
        <v>28</v>
      </c>
      <c r="J1428" s="95">
        <f t="shared" si="358"/>
        <v>47865196.712012149</v>
      </c>
      <c r="K1428" s="95">
        <f t="shared" si="352"/>
        <v>41746536.249401771</v>
      </c>
      <c r="L1428" s="95">
        <f t="shared" si="353"/>
        <v>103521120.25929996</v>
      </c>
      <c r="M1428" s="300">
        <f t="shared" si="354"/>
        <v>13909387.297886044</v>
      </c>
      <c r="N1428" s="70"/>
    </row>
    <row r="1429" spans="1:14" x14ac:dyDescent="0.25">
      <c r="A1429" s="43">
        <v>28</v>
      </c>
      <c r="B1429" s="200">
        <f>'N CARRILES HCM'!H105</f>
        <v>205.91349081635343</v>
      </c>
      <c r="C1429" s="95">
        <f t="shared" si="355"/>
        <v>103521120.25929996</v>
      </c>
      <c r="D1429" s="95">
        <f t="shared" si="356"/>
        <v>108705628.47590701</v>
      </c>
      <c r="E1429" s="95">
        <f t="shared" si="357"/>
        <v>137399022.40507331</v>
      </c>
      <c r="I1429" s="43">
        <v>29</v>
      </c>
      <c r="J1429" s="95">
        <f t="shared" si="358"/>
        <v>49301152.613372505</v>
      </c>
      <c r="K1429" s="95">
        <f t="shared" si="352"/>
        <v>42998932.336883821</v>
      </c>
      <c r="L1429" s="95">
        <f t="shared" si="353"/>
        <v>106626753.86707896</v>
      </c>
      <c r="M1429" s="300">
        <f t="shared" si="354"/>
        <v>14326668.916822635</v>
      </c>
      <c r="N1429" s="70"/>
    </row>
    <row r="1430" spans="1:14" x14ac:dyDescent="0.25">
      <c r="A1430" s="43">
        <v>29</v>
      </c>
      <c r="B1430" s="200">
        <f>'N CARRILES HCM'!H106</f>
        <v>212.090895540844</v>
      </c>
      <c r="C1430" s="95">
        <f t="shared" si="355"/>
        <v>106626753.86707896</v>
      </c>
      <c r="D1430" s="95">
        <f t="shared" si="356"/>
        <v>111966797.33018421</v>
      </c>
      <c r="E1430" s="95">
        <f t="shared" si="357"/>
        <v>141520993.07722551</v>
      </c>
      <c r="I1430" s="43">
        <v>30</v>
      </c>
      <c r="J1430" s="95">
        <f>IF($B$20="P",C1394,IF($B$20="L",D1394,IF($B$20="M",E1394)))</f>
        <v>50780187.19177369</v>
      </c>
      <c r="K1430" s="95">
        <f t="shared" si="352"/>
        <v>44288900.30699034</v>
      </c>
      <c r="L1430" s="95">
        <f t="shared" si="353"/>
        <v>109825556.48309134</v>
      </c>
      <c r="M1430" s="300">
        <f t="shared" si="354"/>
        <v>14756468.984327309</v>
      </c>
      <c r="N1430" s="70"/>
    </row>
    <row r="1431" spans="1:14" x14ac:dyDescent="0.25">
      <c r="A1431" s="43">
        <v>30</v>
      </c>
      <c r="B1431" s="200">
        <f>'N CARRILES HCM'!H107</f>
        <v>218.45362240706933</v>
      </c>
      <c r="C1431" s="95">
        <f t="shared" si="355"/>
        <v>109825556.48309134</v>
      </c>
      <c r="D1431" s="95">
        <f t="shared" si="356"/>
        <v>115325801.25008975</v>
      </c>
      <c r="E1431" s="95">
        <f t="shared" si="357"/>
        <v>145766622.86954227</v>
      </c>
      <c r="I1431" s="43">
        <v>31</v>
      </c>
      <c r="J1431" s="95">
        <f>IF($B$20="P",C1395,IF($B$20="L",D1395,IF($B$20="M",E1395)))</f>
        <v>52303592.807526901</v>
      </c>
      <c r="K1431" s="95">
        <f>IF($B$57="P",K1395,IF($B$57="L",L1395,IF($B$57="M",M1395)))</f>
        <v>45617567.316200055</v>
      </c>
      <c r="L1431" s="95">
        <f>IF($B$94="P",C1432,IF($B$94="L",D1432,IF($B$94="M",E1432)))</f>
        <v>113120323.1775841</v>
      </c>
      <c r="M1431" s="300">
        <f>L1431-K1431-J1431</f>
        <v>15199163.053857133</v>
      </c>
    </row>
    <row r="1432" spans="1:14" x14ac:dyDescent="0.25">
      <c r="A1432" s="43">
        <v>31</v>
      </c>
      <c r="B1432" s="200">
        <f>'N CARRILES HCM'!H108</f>
        <v>225.00723107928144</v>
      </c>
      <c r="C1432" s="95">
        <f>B1432*365*$G$418*L1358</f>
        <v>113120323.1775841</v>
      </c>
      <c r="D1432" s="95">
        <f>B1432*365*$G$418*M1358</f>
        <v>118785575.28759246</v>
      </c>
      <c r="E1432" s="95">
        <f>B1432*365*$G$418*N1358</f>
        <v>150139621.55562857</v>
      </c>
      <c r="I1432" s="43">
        <v>32</v>
      </c>
      <c r="J1432" s="95">
        <f>IF($B$20="P",C1396,IF($B$20="L",D1396,IF($B$20="M",E1396)))</f>
        <v>53872700.591752693</v>
      </c>
      <c r="K1432" s="95">
        <f>IF($B$57="P",K1396,IF($B$57="L",L1396,IF($B$57="M",M1396)))</f>
        <v>46986094.33568605</v>
      </c>
      <c r="L1432" s="95">
        <f>IF($B$94="P",C1433,IF($B$94="L",D1433,IF($B$94="M",E1433)))</f>
        <v>116513932.8729116</v>
      </c>
      <c r="M1432" s="300">
        <f>L1432-K1432-J1432</f>
        <v>15655137.945472851</v>
      </c>
    </row>
    <row r="1433" spans="1:14" x14ac:dyDescent="0.25">
      <c r="A1433" s="43">
        <v>32</v>
      </c>
      <c r="B1433" s="200">
        <f>'N CARRILES HCM'!H109</f>
        <v>231.75744801165985</v>
      </c>
      <c r="C1433" s="95">
        <f>B1433*365*$G$418*L1359</f>
        <v>116513932.8729116</v>
      </c>
      <c r="D1433" s="95">
        <f>B1433*365*$G$418*M1359</f>
        <v>122349142.54622021</v>
      </c>
      <c r="E1433" s="95">
        <f>B1433*365*$G$418*N1359</f>
        <v>154643810.20229739</v>
      </c>
    </row>
    <row r="1434" spans="1:14" x14ac:dyDescent="0.25">
      <c r="A1434" s="549"/>
      <c r="B1434" s="548"/>
      <c r="C1434" s="108"/>
      <c r="D1434" s="108"/>
      <c r="E1434" s="108"/>
    </row>
    <row r="1435" spans="1:14" x14ac:dyDescent="0.25">
      <c r="A1435" s="549"/>
      <c r="B1435" s="548"/>
      <c r="C1435" s="108"/>
      <c r="D1435" s="108"/>
      <c r="E1435" s="108"/>
    </row>
    <row r="1436" spans="1:14" x14ac:dyDescent="0.25">
      <c r="A1436" s="239" t="s">
        <v>261</v>
      </c>
      <c r="B1436" s="239"/>
      <c r="C1436" s="239"/>
      <c r="D1436" s="239"/>
      <c r="E1436" s="239"/>
    </row>
    <row r="1437" spans="1:14" x14ac:dyDescent="0.25">
      <c r="A1437" t="s">
        <v>243</v>
      </c>
      <c r="I1437" t="s">
        <v>529</v>
      </c>
    </row>
    <row r="1438" spans="1:14" x14ac:dyDescent="0.25">
      <c r="C1438" s="569" t="s">
        <v>246</v>
      </c>
      <c r="D1438" s="569"/>
      <c r="E1438" s="569"/>
      <c r="J1438" s="30" t="s">
        <v>246</v>
      </c>
      <c r="K1438" s="30"/>
      <c r="L1438" s="570" t="s">
        <v>250</v>
      </c>
      <c r="M1438" s="571"/>
    </row>
    <row r="1439" spans="1:14" x14ac:dyDescent="0.25">
      <c r="A1439" s="43" t="s">
        <v>18</v>
      </c>
      <c r="B1439" s="43" t="s">
        <v>263</v>
      </c>
      <c r="C1439" s="298" t="s">
        <v>233</v>
      </c>
      <c r="D1439" s="298" t="s">
        <v>234</v>
      </c>
      <c r="E1439" s="298" t="s">
        <v>235</v>
      </c>
      <c r="I1439" s="43" t="s">
        <v>18</v>
      </c>
      <c r="J1439" s="270" t="s">
        <v>531</v>
      </c>
      <c r="K1439" s="270" t="s">
        <v>90</v>
      </c>
      <c r="L1439" s="572"/>
      <c r="M1439" s="573"/>
    </row>
    <row r="1440" spans="1:14" x14ac:dyDescent="0.25">
      <c r="A1440" s="43">
        <v>0</v>
      </c>
      <c r="B1440" s="69">
        <f>J1364</f>
        <v>45</v>
      </c>
      <c r="C1440" s="95">
        <f>B1440*365*$G$207*L1327</f>
        <v>20920764.768749997</v>
      </c>
      <c r="D1440" s="95">
        <f>B1440*365*$G$207*M1327</f>
        <v>23756351.572799999</v>
      </c>
      <c r="E1440" s="95">
        <f>B1440*365*$G$207*N1327</f>
        <v>30026959.300800003</v>
      </c>
      <c r="I1440" s="43">
        <v>0</v>
      </c>
      <c r="J1440" s="200">
        <f>IF($B$20="P",C1440,IF($B$20="L",D1440,IF($B$20="M",E1440)))</f>
        <v>20920764.768749997</v>
      </c>
      <c r="K1440" s="200">
        <f>K1400</f>
        <v>18246440.520000003</v>
      </c>
      <c r="L1440" s="324">
        <f>J1440-K1440</f>
        <v>2674324.2487499937</v>
      </c>
      <c r="M1440" s="70"/>
    </row>
    <row r="1441" spans="1:13" x14ac:dyDescent="0.25">
      <c r="A1441" s="43">
        <v>1</v>
      </c>
      <c r="B1441" s="69">
        <f t="shared" ref="B1441:B1472" si="359">J1365</f>
        <v>46.35</v>
      </c>
      <c r="C1441" s="95">
        <f t="shared" ref="C1441:C1472" si="360">B1441*365*$G$207*L1328</f>
        <v>21548387.7118125</v>
      </c>
      <c r="D1441" s="95">
        <f t="shared" ref="D1441:D1472" si="361">B1441*365*$G$207*M1328</f>
        <v>24469042.119983997</v>
      </c>
      <c r="E1441" s="95">
        <f t="shared" ref="E1441:E1472" si="362">B1441*365*$G$207*N1328</f>
        <v>30927768.079824001</v>
      </c>
      <c r="I1441" s="43">
        <v>1</v>
      </c>
      <c r="J1441" s="200">
        <f t="shared" ref="J1441:J1456" si="363">IF($B$20="P",C1441,IF($B$20="L",D1441,IF($B$20="M",E1441)))</f>
        <v>21548387.7118125</v>
      </c>
      <c r="K1441" s="200">
        <f t="shared" ref="K1441:K1472" si="364">K1401</f>
        <v>18793833.735600006</v>
      </c>
      <c r="L1441" s="324">
        <f t="shared" ref="L1441:L1472" si="365">J1441-K1441</f>
        <v>2754553.9762124941</v>
      </c>
      <c r="M1441" s="70"/>
    </row>
    <row r="1442" spans="1:13" x14ac:dyDescent="0.25">
      <c r="A1442" s="43">
        <v>2</v>
      </c>
      <c r="B1442" s="69">
        <f t="shared" si="359"/>
        <v>47.740499999999997</v>
      </c>
      <c r="C1442" s="95">
        <f t="shared" si="360"/>
        <v>22194839.343166873</v>
      </c>
      <c r="D1442" s="95">
        <f t="shared" si="361"/>
        <v>25203113.383583516</v>
      </c>
      <c r="E1442" s="95">
        <f t="shared" si="362"/>
        <v>31855601.122218721</v>
      </c>
      <c r="I1442" s="43">
        <v>2</v>
      </c>
      <c r="J1442" s="200">
        <f t="shared" si="363"/>
        <v>22194839.343166873</v>
      </c>
      <c r="K1442" s="200">
        <f t="shared" si="364"/>
        <v>19357648.747668002</v>
      </c>
      <c r="L1442" s="324">
        <f t="shared" si="365"/>
        <v>2837190.5954988711</v>
      </c>
      <c r="M1442" s="70"/>
    </row>
    <row r="1443" spans="1:13" x14ac:dyDescent="0.25">
      <c r="A1443" s="43">
        <v>3</v>
      </c>
      <c r="B1443" s="69">
        <f t="shared" si="359"/>
        <v>49.172714999999997</v>
      </c>
      <c r="C1443" s="95">
        <f t="shared" si="360"/>
        <v>22860684.523461882</v>
      </c>
      <c r="D1443" s="95">
        <f t="shared" si="361"/>
        <v>25959206.785091024</v>
      </c>
      <c r="E1443" s="95">
        <f t="shared" si="362"/>
        <v>32811269.155885287</v>
      </c>
      <c r="I1443" s="43">
        <v>3</v>
      </c>
      <c r="J1443" s="200">
        <f t="shared" si="363"/>
        <v>22860684.523461882</v>
      </c>
      <c r="K1443" s="200">
        <f t="shared" si="364"/>
        <v>19938378.210098039</v>
      </c>
      <c r="L1443" s="324">
        <f t="shared" si="365"/>
        <v>2922306.3133638427</v>
      </c>
      <c r="M1443" s="70"/>
    </row>
    <row r="1444" spans="1:13" x14ac:dyDescent="0.25">
      <c r="A1444" s="43">
        <v>4</v>
      </c>
      <c r="B1444" s="69">
        <f t="shared" si="359"/>
        <v>50.647896449999998</v>
      </c>
      <c r="C1444" s="95">
        <f t="shared" si="360"/>
        <v>23546505.059165731</v>
      </c>
      <c r="D1444" s="95">
        <f t="shared" si="361"/>
        <v>26737982.988643751</v>
      </c>
      <c r="E1444" s="95">
        <f t="shared" si="362"/>
        <v>33795607.230561838</v>
      </c>
      <c r="I1444" s="43">
        <v>4</v>
      </c>
      <c r="J1444" s="200">
        <f t="shared" si="363"/>
        <v>23546505.059165731</v>
      </c>
      <c r="K1444" s="200">
        <f t="shared" si="364"/>
        <v>20536529.556400985</v>
      </c>
      <c r="L1444" s="324">
        <f t="shared" si="365"/>
        <v>3009975.5027647465</v>
      </c>
      <c r="M1444" s="70"/>
    </row>
    <row r="1445" spans="1:13" x14ac:dyDescent="0.25">
      <c r="A1445" s="43">
        <v>5</v>
      </c>
      <c r="B1445" s="69">
        <f t="shared" si="359"/>
        <v>52.16733334349999</v>
      </c>
      <c r="C1445" s="95">
        <f t="shared" si="360"/>
        <v>24252900.210940707</v>
      </c>
      <c r="D1445" s="95">
        <f t="shared" si="361"/>
        <v>27540122.478303067</v>
      </c>
      <c r="E1445" s="95">
        <f t="shared" si="362"/>
        <v>34809475.447478697</v>
      </c>
      <c r="I1445" s="43">
        <v>5</v>
      </c>
      <c r="J1445" s="200">
        <f t="shared" si="363"/>
        <v>24252900.210940707</v>
      </c>
      <c r="K1445" s="200">
        <f t="shared" si="364"/>
        <v>21152625.443093009</v>
      </c>
      <c r="L1445" s="324">
        <f t="shared" si="365"/>
        <v>3100274.7678476982</v>
      </c>
      <c r="M1445" s="70"/>
    </row>
    <row r="1446" spans="1:13" x14ac:dyDescent="0.25">
      <c r="A1446" s="43">
        <v>6</v>
      </c>
      <c r="B1446" s="69">
        <f t="shared" si="359"/>
        <v>53.732353343804995</v>
      </c>
      <c r="C1446" s="95">
        <f t="shared" si="360"/>
        <v>24980487.217268929</v>
      </c>
      <c r="D1446" s="95">
        <f t="shared" si="361"/>
        <v>28366326.152652159</v>
      </c>
      <c r="E1446" s="95">
        <f t="shared" si="362"/>
        <v>35853759.710903056</v>
      </c>
      <c r="I1446" s="43">
        <v>6</v>
      </c>
      <c r="J1446" s="200">
        <f t="shared" si="363"/>
        <v>24980487.217268929</v>
      </c>
      <c r="K1446" s="200">
        <f t="shared" si="364"/>
        <v>21787204.206385802</v>
      </c>
      <c r="L1446" s="324">
        <f t="shared" si="365"/>
        <v>3193283.0108831264</v>
      </c>
      <c r="M1446" s="70"/>
    </row>
    <row r="1447" spans="1:13" x14ac:dyDescent="0.25">
      <c r="A1447" s="43">
        <v>7</v>
      </c>
      <c r="B1447" s="69">
        <f t="shared" si="359"/>
        <v>55.344323944119147</v>
      </c>
      <c r="C1447" s="95">
        <f t="shared" si="360"/>
        <v>25729901.833786994</v>
      </c>
      <c r="D1447" s="95">
        <f t="shared" si="361"/>
        <v>29217315.937231719</v>
      </c>
      <c r="E1447" s="95">
        <f t="shared" si="362"/>
        <v>36929372.502230145</v>
      </c>
      <c r="I1447" s="43">
        <v>7</v>
      </c>
      <c r="J1447" s="200">
        <f t="shared" si="363"/>
        <v>25729901.833786994</v>
      </c>
      <c r="K1447" s="200">
        <f t="shared" si="364"/>
        <v>22440820.332577378</v>
      </c>
      <c r="L1447" s="324">
        <f t="shared" si="365"/>
        <v>3289081.5012096167</v>
      </c>
      <c r="M1447" s="70"/>
    </row>
    <row r="1448" spans="1:13" x14ac:dyDescent="0.25">
      <c r="A1448" s="43">
        <v>8</v>
      </c>
      <c r="B1448" s="69">
        <f t="shared" si="359"/>
        <v>57.00465366244272</v>
      </c>
      <c r="C1448" s="95">
        <f t="shared" si="360"/>
        <v>26501798.888800606</v>
      </c>
      <c r="D1448" s="95">
        <f t="shared" si="361"/>
        <v>30093835.415348675</v>
      </c>
      <c r="E1448" s="95">
        <f t="shared" si="362"/>
        <v>38037253.677297056</v>
      </c>
      <c r="I1448" s="43">
        <v>8</v>
      </c>
      <c r="J1448" s="200">
        <f t="shared" si="363"/>
        <v>26501798.888800606</v>
      </c>
      <c r="K1448" s="200">
        <f t="shared" si="364"/>
        <v>23114044.942554701</v>
      </c>
      <c r="L1448" s="324">
        <f t="shared" si="365"/>
        <v>3387753.946245905</v>
      </c>
      <c r="M1448" s="70"/>
    </row>
    <row r="1449" spans="1:13" x14ac:dyDescent="0.25">
      <c r="A1449" s="43">
        <v>9</v>
      </c>
      <c r="B1449" s="69">
        <f t="shared" si="359"/>
        <v>58.714793272316001</v>
      </c>
      <c r="C1449" s="95">
        <f t="shared" si="360"/>
        <v>27296852.855464622</v>
      </c>
      <c r="D1449" s="95">
        <f t="shared" si="361"/>
        <v>30996650.477809135</v>
      </c>
      <c r="E1449" s="95">
        <f t="shared" si="362"/>
        <v>39178371.287615962</v>
      </c>
      <c r="I1449" s="43">
        <v>9</v>
      </c>
      <c r="J1449" s="200">
        <f t="shared" si="363"/>
        <v>27296852.855464622</v>
      </c>
      <c r="K1449" s="200">
        <f t="shared" si="364"/>
        <v>23807466.290831339</v>
      </c>
      <c r="L1449" s="324">
        <f t="shared" si="365"/>
        <v>3489386.5646332838</v>
      </c>
      <c r="M1449" s="70"/>
    </row>
    <row r="1450" spans="1:13" x14ac:dyDescent="0.25">
      <c r="A1450" s="43">
        <v>10</v>
      </c>
      <c r="B1450" s="69">
        <f t="shared" si="359"/>
        <v>60.476237070485482</v>
      </c>
      <c r="C1450" s="95">
        <f t="shared" si="360"/>
        <v>28115758.441128563</v>
      </c>
      <c r="D1450" s="95">
        <f t="shared" si="361"/>
        <v>31926549.992143411</v>
      </c>
      <c r="E1450" s="95">
        <f t="shared" si="362"/>
        <v>40353722.426244445</v>
      </c>
      <c r="I1450" s="43">
        <v>10</v>
      </c>
      <c r="J1450" s="200">
        <f t="shared" si="363"/>
        <v>28115758.441128563</v>
      </c>
      <c r="K1450" s="200">
        <f t="shared" si="364"/>
        <v>24521690.279556282</v>
      </c>
      <c r="L1450" s="324">
        <f t="shared" si="365"/>
        <v>3594068.1615722813</v>
      </c>
      <c r="M1450" s="70"/>
    </row>
    <row r="1451" spans="1:13" x14ac:dyDescent="0.25">
      <c r="A1451" s="43">
        <v>11</v>
      </c>
      <c r="B1451" s="69">
        <f t="shared" si="359"/>
        <v>62.290524182600045</v>
      </c>
      <c r="C1451" s="95">
        <f t="shared" si="360"/>
        <v>28959231.194362421</v>
      </c>
      <c r="D1451" s="95">
        <f t="shared" si="361"/>
        <v>32884346.491907712</v>
      </c>
      <c r="E1451" s="95">
        <f t="shared" si="362"/>
        <v>41564334.099031776</v>
      </c>
      <c r="I1451" s="43">
        <v>11</v>
      </c>
      <c r="J1451" s="200">
        <f t="shared" si="363"/>
        <v>28959231.194362421</v>
      </c>
      <c r="K1451" s="200">
        <f t="shared" si="364"/>
        <v>25257340.987942968</v>
      </c>
      <c r="L1451" s="324">
        <f t="shared" si="365"/>
        <v>3701890.206419453</v>
      </c>
      <c r="M1451" s="70"/>
    </row>
    <row r="1452" spans="1:13" x14ac:dyDescent="0.25">
      <c r="A1452" s="43">
        <v>12</v>
      </c>
      <c r="B1452" s="69">
        <f t="shared" si="359"/>
        <v>64.159239908078035</v>
      </c>
      <c r="C1452" s="95">
        <f t="shared" si="360"/>
        <v>32255469.828312669</v>
      </c>
      <c r="D1452" s="95">
        <f t="shared" si="361"/>
        <v>33870876.886664934</v>
      </c>
      <c r="E1452" s="95">
        <f t="shared" si="362"/>
        <v>42811264.122002721</v>
      </c>
      <c r="I1452" s="43">
        <v>12</v>
      </c>
      <c r="J1452" s="200">
        <f t="shared" si="363"/>
        <v>32255469.828312669</v>
      </c>
      <c r="K1452" s="200">
        <f t="shared" si="364"/>
        <v>26015061.21758125</v>
      </c>
      <c r="L1452" s="324">
        <f t="shared" si="365"/>
        <v>6240408.6107314192</v>
      </c>
      <c r="M1452" s="70"/>
    </row>
    <row r="1453" spans="1:13" x14ac:dyDescent="0.25">
      <c r="A1453" s="43">
        <v>13</v>
      </c>
      <c r="B1453" s="69">
        <f t="shared" si="359"/>
        <v>66.08401710532037</v>
      </c>
      <c r="C1453" s="95">
        <f t="shared" si="360"/>
        <v>33223133.923162043</v>
      </c>
      <c r="D1453" s="95">
        <f t="shared" si="361"/>
        <v>34887003.193264879</v>
      </c>
      <c r="E1453" s="95">
        <f t="shared" si="362"/>
        <v>44095602.045662798</v>
      </c>
      <c r="I1453" s="43">
        <v>13</v>
      </c>
      <c r="J1453" s="200">
        <f t="shared" si="363"/>
        <v>33223133.923162043</v>
      </c>
      <c r="K1453" s="200">
        <f t="shared" si="364"/>
        <v>26795513.054108687</v>
      </c>
      <c r="L1453" s="324">
        <f t="shared" si="365"/>
        <v>6427620.8690533563</v>
      </c>
      <c r="M1453" s="70"/>
    </row>
    <row r="1454" spans="1:13" x14ac:dyDescent="0.25">
      <c r="A1454" s="43">
        <v>14</v>
      </c>
      <c r="B1454" s="69">
        <f t="shared" si="359"/>
        <v>68.066537618479998</v>
      </c>
      <c r="C1454" s="95">
        <f t="shared" si="360"/>
        <v>34219827.940856911</v>
      </c>
      <c r="D1454" s="95">
        <f t="shared" si="361"/>
        <v>35933613.289062828</v>
      </c>
      <c r="E1454" s="95">
        <f t="shared" si="362"/>
        <v>45418470.107032686</v>
      </c>
      <c r="I1454" s="43">
        <v>14</v>
      </c>
      <c r="J1454" s="200">
        <f t="shared" si="363"/>
        <v>34219827.940856911</v>
      </c>
      <c r="K1454" s="200">
        <f t="shared" si="364"/>
        <v>27599378.445731953</v>
      </c>
      <c r="L1454" s="324">
        <f t="shared" si="365"/>
        <v>6620449.4951249585</v>
      </c>
      <c r="M1454" s="70"/>
    </row>
    <row r="1455" spans="1:13" x14ac:dyDescent="0.25">
      <c r="A1455" s="43">
        <v>15</v>
      </c>
      <c r="B1455" s="69">
        <f t="shared" si="359"/>
        <v>70.1085337470344</v>
      </c>
      <c r="C1455" s="95">
        <f t="shared" si="360"/>
        <v>35246422.779082619</v>
      </c>
      <c r="D1455" s="95">
        <f t="shared" si="361"/>
        <v>37011621.687734723</v>
      </c>
      <c r="E1455" s="95">
        <f t="shared" si="362"/>
        <v>46781024.21024368</v>
      </c>
      <c r="I1455" s="43">
        <v>15</v>
      </c>
      <c r="J1455" s="200">
        <f t="shared" si="363"/>
        <v>35246422.779082619</v>
      </c>
      <c r="K1455" s="200">
        <f t="shared" si="364"/>
        <v>28427359.799103912</v>
      </c>
      <c r="L1455" s="324">
        <f t="shared" si="365"/>
        <v>6819062.9799787067</v>
      </c>
      <c r="M1455" s="70"/>
    </row>
    <row r="1456" spans="1:13" x14ac:dyDescent="0.25">
      <c r="A1456" s="43">
        <v>16</v>
      </c>
      <c r="B1456" s="69">
        <f t="shared" si="359"/>
        <v>72.211789759445423</v>
      </c>
      <c r="C1456" s="95">
        <f t="shared" si="360"/>
        <v>36303815.462455094</v>
      </c>
      <c r="D1456" s="95">
        <f t="shared" si="361"/>
        <v>38121970.338366754</v>
      </c>
      <c r="E1456" s="95">
        <f t="shared" si="362"/>
        <v>48184454.936550982</v>
      </c>
      <c r="I1456" s="43">
        <v>16</v>
      </c>
      <c r="J1456" s="200">
        <f t="shared" si="363"/>
        <v>36303815.462455094</v>
      </c>
      <c r="K1456" s="200">
        <f t="shared" si="364"/>
        <v>29280180.593077023</v>
      </c>
      <c r="L1456" s="324">
        <f t="shared" si="365"/>
        <v>7023634.8693780713</v>
      </c>
      <c r="M1456" s="70"/>
    </row>
    <row r="1457" spans="1:13" x14ac:dyDescent="0.25">
      <c r="A1457" s="43">
        <v>17</v>
      </c>
      <c r="B1457" s="69">
        <f t="shared" si="359"/>
        <v>74.378143452228784</v>
      </c>
      <c r="C1457" s="95">
        <f t="shared" si="360"/>
        <v>37392929.926328748</v>
      </c>
      <c r="D1457" s="95">
        <f t="shared" si="361"/>
        <v>39265629.448517762</v>
      </c>
      <c r="E1457" s="95">
        <f t="shared" si="362"/>
        <v>49629988.584647506</v>
      </c>
      <c r="I1457" s="43">
        <v>17</v>
      </c>
      <c r="J1457" s="200">
        <f>IF($B$20="P",C1457,IF($B$20="L",D1457,IF($B$20="M",E1457)))</f>
        <v>37392929.926328748</v>
      </c>
      <c r="K1457" s="200">
        <f t="shared" si="364"/>
        <v>30158586.010869335</v>
      </c>
      <c r="L1457" s="324">
        <f t="shared" si="365"/>
        <v>7234343.9154594131</v>
      </c>
      <c r="M1457" s="70"/>
    </row>
    <row r="1458" spans="1:13" x14ac:dyDescent="0.25">
      <c r="A1458" s="43">
        <v>18</v>
      </c>
      <c r="B1458" s="69">
        <f t="shared" si="359"/>
        <v>76.609487755795641</v>
      </c>
      <c r="C1458" s="95">
        <f t="shared" si="360"/>
        <v>38514717.824118607</v>
      </c>
      <c r="D1458" s="95">
        <f t="shared" si="361"/>
        <v>40443598.331973292</v>
      </c>
      <c r="E1458" s="95">
        <f t="shared" si="362"/>
        <v>51118888.242186926</v>
      </c>
      <c r="I1458" s="43">
        <v>18</v>
      </c>
      <c r="J1458" s="200">
        <f t="shared" ref="J1458:J1472" si="366">IF($B$20="P",C1458,IF($B$20="L",D1458,IF($B$20="M",E1458)))</f>
        <v>38514717.824118607</v>
      </c>
      <c r="K1458" s="200">
        <f t="shared" si="364"/>
        <v>31063343.591195416</v>
      </c>
      <c r="L1458" s="324">
        <f t="shared" si="365"/>
        <v>7451374.232923191</v>
      </c>
      <c r="M1458" s="70"/>
    </row>
    <row r="1459" spans="1:13" x14ac:dyDescent="0.25">
      <c r="A1459" s="43">
        <v>19</v>
      </c>
      <c r="B1459" s="69">
        <f t="shared" si="359"/>
        <v>78.90777238846951</v>
      </c>
      <c r="C1459" s="95">
        <f t="shared" si="360"/>
        <v>39670159.358842164</v>
      </c>
      <c r="D1459" s="95">
        <f t="shared" si="361"/>
        <v>41656906.281932488</v>
      </c>
      <c r="E1459" s="95">
        <f t="shared" si="362"/>
        <v>52652454.889452539</v>
      </c>
      <c r="I1459" s="43">
        <v>19</v>
      </c>
      <c r="J1459" s="200">
        <f t="shared" si="366"/>
        <v>39670159.358842164</v>
      </c>
      <c r="K1459" s="200">
        <f t="shared" si="364"/>
        <v>31995243.898931276</v>
      </c>
      <c r="L1459" s="324">
        <f t="shared" si="365"/>
        <v>7674915.4599108882</v>
      </c>
      <c r="M1459" s="70"/>
    </row>
    <row r="1460" spans="1:13" x14ac:dyDescent="0.25">
      <c r="A1460" s="43">
        <v>20</v>
      </c>
      <c r="B1460" s="69">
        <f t="shared" si="359"/>
        <v>81.275005560123603</v>
      </c>
      <c r="C1460" s="95">
        <f t="shared" si="360"/>
        <v>40860264.13960743</v>
      </c>
      <c r="D1460" s="95">
        <f t="shared" si="361"/>
        <v>42906613.470390461</v>
      </c>
      <c r="E1460" s="95">
        <f t="shared" si="362"/>
        <v>54232028.536136113</v>
      </c>
      <c r="I1460" s="43">
        <v>20</v>
      </c>
      <c r="J1460" s="200">
        <f t="shared" si="366"/>
        <v>40860264.13960743</v>
      </c>
      <c r="K1460" s="200">
        <f t="shared" si="364"/>
        <v>32955101.215899222</v>
      </c>
      <c r="L1460" s="324">
        <f t="shared" si="365"/>
        <v>7905162.9237082079</v>
      </c>
      <c r="M1460" s="70"/>
    </row>
    <row r="1461" spans="1:13" x14ac:dyDescent="0.25">
      <c r="A1461" s="43">
        <v>21</v>
      </c>
      <c r="B1461" s="69">
        <f t="shared" si="359"/>
        <v>83.713255726927287</v>
      </c>
      <c r="C1461" s="95">
        <f t="shared" si="360"/>
        <v>42086072.063795641</v>
      </c>
      <c r="D1461" s="95">
        <f t="shared" si="361"/>
        <v>44193811.874502167</v>
      </c>
      <c r="E1461" s="95">
        <f t="shared" si="362"/>
        <v>55858989.392220184</v>
      </c>
      <c r="I1461" s="43">
        <v>21</v>
      </c>
      <c r="J1461" s="200">
        <f t="shared" si="366"/>
        <v>42086072.063795641</v>
      </c>
      <c r="K1461" s="200">
        <f t="shared" si="364"/>
        <v>33943754.252376184</v>
      </c>
      <c r="L1461" s="324">
        <f t="shared" si="365"/>
        <v>8142317.8114194572</v>
      </c>
      <c r="M1461" s="70"/>
    </row>
    <row r="1462" spans="1:13" x14ac:dyDescent="0.25">
      <c r="A1462" s="43">
        <v>22</v>
      </c>
      <c r="B1462" s="69">
        <f t="shared" si="359"/>
        <v>86.224653398735114</v>
      </c>
      <c r="C1462" s="95">
        <f t="shared" si="360"/>
        <v>43348654.225709513</v>
      </c>
      <c r="D1462" s="95">
        <f t="shared" si="361"/>
        <v>45519626.230737239</v>
      </c>
      <c r="E1462" s="95">
        <f t="shared" si="362"/>
        <v>57534759.073986791</v>
      </c>
      <c r="I1462" s="43">
        <v>22</v>
      </c>
      <c r="J1462" s="200">
        <f t="shared" si="366"/>
        <v>43348654.225709513</v>
      </c>
      <c r="K1462" s="200">
        <f t="shared" si="364"/>
        <v>34962066.879947476</v>
      </c>
      <c r="L1462" s="324">
        <f t="shared" si="365"/>
        <v>8386587.3457620367</v>
      </c>
      <c r="M1462" s="70"/>
    </row>
    <row r="1463" spans="1:13" x14ac:dyDescent="0.25">
      <c r="A1463" s="43">
        <v>23</v>
      </c>
      <c r="B1463" s="69">
        <f t="shared" si="359"/>
        <v>88.81139300069718</v>
      </c>
      <c r="C1463" s="95">
        <f t="shared" si="360"/>
        <v>44649113.852480806</v>
      </c>
      <c r="D1463" s="95">
        <f t="shared" si="361"/>
        <v>46885215.017659359</v>
      </c>
      <c r="E1463" s="95">
        <f t="shared" si="362"/>
        <v>59260801.846206404</v>
      </c>
      <c r="I1463" s="43">
        <v>23</v>
      </c>
      <c r="J1463" s="200">
        <f t="shared" si="366"/>
        <v>44649113.852480806</v>
      </c>
      <c r="K1463" s="200">
        <f t="shared" si="364"/>
        <v>36010928.886345901</v>
      </c>
      <c r="L1463" s="324">
        <f t="shared" si="365"/>
        <v>8638184.9661349058</v>
      </c>
      <c r="M1463" s="70"/>
    </row>
    <row r="1464" spans="1:13" x14ac:dyDescent="0.25">
      <c r="A1464" s="43">
        <v>24</v>
      </c>
      <c r="B1464" s="69">
        <f t="shared" si="359"/>
        <v>91.475734790718079</v>
      </c>
      <c r="C1464" s="95">
        <f t="shared" si="360"/>
        <v>45988587.268055215</v>
      </c>
      <c r="D1464" s="95">
        <f t="shared" si="361"/>
        <v>48291771.468189128</v>
      </c>
      <c r="E1464" s="95">
        <f t="shared" si="362"/>
        <v>61038625.901592582</v>
      </c>
      <c r="I1464" s="43">
        <v>24</v>
      </c>
      <c r="J1464" s="200">
        <f t="shared" si="366"/>
        <v>45988587.268055215</v>
      </c>
      <c r="K1464" s="200">
        <f t="shared" si="364"/>
        <v>37091256.752936274</v>
      </c>
      <c r="L1464" s="324">
        <f t="shared" si="365"/>
        <v>8897330.5151189417</v>
      </c>
      <c r="M1464" s="70"/>
    </row>
    <row r="1465" spans="1:13" x14ac:dyDescent="0.25">
      <c r="A1465" s="43">
        <v>25</v>
      </c>
      <c r="B1465" s="69">
        <f t="shared" si="359"/>
        <v>94.220006834439616</v>
      </c>
      <c r="C1465" s="95">
        <f t="shared" si="360"/>
        <v>47368244.88609688</v>
      </c>
      <c r="D1465" s="95">
        <f t="shared" si="361"/>
        <v>49740524.612234809</v>
      </c>
      <c r="E1465" s="95">
        <f t="shared" si="362"/>
        <v>62869784.678640366</v>
      </c>
      <c r="I1465" s="43">
        <v>25</v>
      </c>
      <c r="J1465" s="200">
        <f t="shared" si="366"/>
        <v>47368244.88609688</v>
      </c>
      <c r="K1465" s="200">
        <f t="shared" si="364"/>
        <v>38203994.455524355</v>
      </c>
      <c r="L1465" s="324">
        <f t="shared" si="365"/>
        <v>9164250.4305725247</v>
      </c>
      <c r="M1465" s="70"/>
    </row>
    <row r="1466" spans="1:13" x14ac:dyDescent="0.25">
      <c r="A1466" s="43">
        <v>26</v>
      </c>
      <c r="B1466" s="69">
        <f t="shared" si="359"/>
        <v>97.046607039472832</v>
      </c>
      <c r="C1466" s="95">
        <f t="shared" si="360"/>
        <v>48789292.232679807</v>
      </c>
      <c r="D1466" s="95">
        <f t="shared" si="361"/>
        <v>51232740.350601874</v>
      </c>
      <c r="E1466" s="95">
        <f t="shared" si="362"/>
        <v>64755878.218999602</v>
      </c>
      <c r="I1466" s="43">
        <v>26</v>
      </c>
      <c r="J1466" s="200">
        <f t="shared" si="366"/>
        <v>48789292.232679807</v>
      </c>
      <c r="K1466" s="200">
        <f t="shared" si="364"/>
        <v>39350114.289190099</v>
      </c>
      <c r="L1466" s="324">
        <f t="shared" si="365"/>
        <v>9439177.943489708</v>
      </c>
      <c r="M1466" s="70"/>
    </row>
    <row r="1467" spans="1:13" x14ac:dyDescent="0.25">
      <c r="A1467" s="43">
        <v>27</v>
      </c>
      <c r="B1467" s="69">
        <f t="shared" si="359"/>
        <v>99.958005250656996</v>
      </c>
      <c r="C1467" s="95">
        <f t="shared" si="360"/>
        <v>50252970.999660179</v>
      </c>
      <c r="D1467" s="95">
        <f t="shared" si="361"/>
        <v>52769722.561119907</v>
      </c>
      <c r="E1467" s="95">
        <f t="shared" si="362"/>
        <v>66698554.565569565</v>
      </c>
      <c r="I1467" s="43">
        <v>27</v>
      </c>
      <c r="J1467" s="200">
        <f t="shared" si="366"/>
        <v>50252970.999660179</v>
      </c>
      <c r="K1467" s="200">
        <f t="shared" si="364"/>
        <v>40530617.717865795</v>
      </c>
      <c r="L1467" s="324">
        <f t="shared" si="365"/>
        <v>9722353.2817943841</v>
      </c>
      <c r="M1467" s="70"/>
    </row>
    <row r="1468" spans="1:13" x14ac:dyDescent="0.25">
      <c r="A1468" s="43">
        <v>28</v>
      </c>
      <c r="B1468" s="69">
        <f t="shared" si="359"/>
        <v>102.95674540817672</v>
      </c>
      <c r="C1468" s="95">
        <f t="shared" si="360"/>
        <v>51760560.129649982</v>
      </c>
      <c r="D1468" s="95">
        <f t="shared" si="361"/>
        <v>54352814.237953506</v>
      </c>
      <c r="E1468" s="95">
        <f t="shared" si="362"/>
        <v>68699511.202536657</v>
      </c>
      <c r="I1468" s="43">
        <v>28</v>
      </c>
      <c r="J1468" s="200">
        <f t="shared" si="366"/>
        <v>51760560.129649982</v>
      </c>
      <c r="K1468" s="200">
        <f t="shared" si="364"/>
        <v>41746536.249401771</v>
      </c>
      <c r="L1468" s="324">
        <f t="shared" si="365"/>
        <v>10014023.880248211</v>
      </c>
      <c r="M1468" s="70"/>
    </row>
    <row r="1469" spans="1:13" x14ac:dyDescent="0.25">
      <c r="A1469" s="43">
        <v>29</v>
      </c>
      <c r="B1469" s="69">
        <f t="shared" si="359"/>
        <v>106.045447770422</v>
      </c>
      <c r="C1469" s="95">
        <f t="shared" si="360"/>
        <v>53313376.93353948</v>
      </c>
      <c r="D1469" s="95">
        <f t="shared" si="361"/>
        <v>55983398.665092103</v>
      </c>
      <c r="E1469" s="95">
        <f t="shared" si="362"/>
        <v>70760496.538612753</v>
      </c>
      <c r="I1469" s="43">
        <v>29</v>
      </c>
      <c r="J1469" s="200">
        <f t="shared" si="366"/>
        <v>53313376.93353948</v>
      </c>
      <c r="K1469" s="200">
        <f t="shared" si="364"/>
        <v>42998932.336883821</v>
      </c>
      <c r="L1469" s="324">
        <f t="shared" si="365"/>
        <v>10314444.596655659</v>
      </c>
      <c r="M1469" s="70"/>
    </row>
    <row r="1470" spans="1:13" x14ac:dyDescent="0.25">
      <c r="A1470" s="43">
        <v>30</v>
      </c>
      <c r="B1470" s="69">
        <f t="shared" si="359"/>
        <v>109.22681120353467</v>
      </c>
      <c r="C1470" s="95">
        <f t="shared" si="360"/>
        <v>54912778.24154567</v>
      </c>
      <c r="D1470" s="95">
        <f t="shared" si="361"/>
        <v>57662900.625044875</v>
      </c>
      <c r="E1470" s="95">
        <f t="shared" si="362"/>
        <v>72883311.434771135</v>
      </c>
      <c r="I1470" s="43">
        <v>30</v>
      </c>
      <c r="J1470" s="200">
        <f t="shared" si="366"/>
        <v>54912778.24154567</v>
      </c>
      <c r="K1470" s="200">
        <f t="shared" si="364"/>
        <v>44288900.30699034</v>
      </c>
      <c r="L1470" s="324">
        <f t="shared" si="365"/>
        <v>10623877.934555329</v>
      </c>
      <c r="M1470" s="70"/>
    </row>
    <row r="1471" spans="1:13" x14ac:dyDescent="0.25">
      <c r="A1471" s="43">
        <v>31</v>
      </c>
      <c r="B1471" s="69">
        <f t="shared" si="359"/>
        <v>112.50361553964072</v>
      </c>
      <c r="C1471" s="95">
        <f t="shared" si="360"/>
        <v>56560161.588792048</v>
      </c>
      <c r="D1471" s="95">
        <f t="shared" si="361"/>
        <v>59392787.643796228</v>
      </c>
      <c r="E1471" s="95">
        <f t="shared" si="362"/>
        <v>75069810.777814284</v>
      </c>
      <c r="I1471" s="43">
        <v>31</v>
      </c>
      <c r="J1471" s="200">
        <f t="shared" si="366"/>
        <v>56560161.588792048</v>
      </c>
      <c r="K1471" s="200">
        <f t="shared" si="364"/>
        <v>45617567.316200055</v>
      </c>
      <c r="L1471" s="324">
        <f t="shared" si="365"/>
        <v>10942594.272591993</v>
      </c>
    </row>
    <row r="1472" spans="1:13" x14ac:dyDescent="0.25">
      <c r="A1472" s="43">
        <v>32</v>
      </c>
      <c r="B1472" s="69">
        <f t="shared" si="359"/>
        <v>115.87872400582992</v>
      </c>
      <c r="C1472" s="95">
        <f t="shared" si="360"/>
        <v>58256966.436455801</v>
      </c>
      <c r="D1472" s="95">
        <f t="shared" si="361"/>
        <v>61174571.273110107</v>
      </c>
      <c r="E1472" s="95">
        <f t="shared" si="362"/>
        <v>77321905.101148695</v>
      </c>
      <c r="I1472" s="43">
        <v>32</v>
      </c>
      <c r="J1472" s="200">
        <f t="shared" si="366"/>
        <v>58256966.436455801</v>
      </c>
      <c r="K1472" s="200">
        <f t="shared" si="364"/>
        <v>46986094.33568605</v>
      </c>
      <c r="L1472" s="324">
        <f t="shared" si="365"/>
        <v>11270872.100769751</v>
      </c>
    </row>
    <row r="1473" spans="1:15" x14ac:dyDescent="0.25">
      <c r="A1473" s="549"/>
      <c r="B1473" s="548"/>
      <c r="C1473" s="108"/>
      <c r="D1473" s="108"/>
      <c r="E1473" s="108"/>
    </row>
    <row r="1474" spans="1:15" x14ac:dyDescent="0.25">
      <c r="A1474" t="s">
        <v>52</v>
      </c>
    </row>
    <row r="1476" spans="1:15" x14ac:dyDescent="0.25">
      <c r="A1476" s="269" t="s">
        <v>294</v>
      </c>
    </row>
    <row r="1477" spans="1:15" ht="15.75" thickBot="1" x14ac:dyDescent="0.3">
      <c r="A1477" s="313" t="s">
        <v>253</v>
      </c>
      <c r="F1477" s="285"/>
      <c r="G1477" s="285"/>
      <c r="H1477" s="285"/>
    </row>
    <row r="1478" spans="1:15" ht="16.5" thickTop="1" thickBot="1" x14ac:dyDescent="0.3">
      <c r="A1478" s="303" t="s">
        <v>237</v>
      </c>
      <c r="B1478" s="276" t="s">
        <v>233</v>
      </c>
      <c r="C1478" s="276" t="s">
        <v>234</v>
      </c>
      <c r="D1478" s="277" t="s">
        <v>235</v>
      </c>
      <c r="F1478" t="s">
        <v>239</v>
      </c>
      <c r="O1478" s="47"/>
    </row>
    <row r="1479" spans="1:15" x14ac:dyDescent="0.25">
      <c r="A1479" s="304">
        <v>2</v>
      </c>
      <c r="B1479" s="314">
        <v>53.11</v>
      </c>
      <c r="C1479" s="314">
        <v>34.42</v>
      </c>
      <c r="D1479" s="315">
        <v>25.34</v>
      </c>
      <c r="F1479" s="284" t="s">
        <v>237</v>
      </c>
      <c r="G1479" s="292" t="s">
        <v>233</v>
      </c>
      <c r="H1479" s="292" t="s">
        <v>234</v>
      </c>
      <c r="I1479" s="293" t="s">
        <v>235</v>
      </c>
      <c r="O1479" s="47"/>
    </row>
    <row r="1480" spans="1:15" x14ac:dyDescent="0.25">
      <c r="A1480" s="304">
        <v>3</v>
      </c>
      <c r="B1480" s="306">
        <f>(B1479+B1481)/2</f>
        <v>52.34</v>
      </c>
      <c r="C1480" s="306">
        <f>(C1479+C1481)/2</f>
        <v>34.21</v>
      </c>
      <c r="D1480" s="316">
        <f>(D1479+D1481)/2</f>
        <v>25.25</v>
      </c>
      <c r="E1480" s="60"/>
      <c r="F1480" s="321">
        <v>0</v>
      </c>
      <c r="G1480" s="302">
        <f>0.00009*(F1480)^3-0.00125*(F1480)^2+0.05*(F1480)+1.073</f>
        <v>1.073</v>
      </c>
      <c r="H1480" s="302">
        <f>-0.00005*(F1480)^3+0.0011*(F1480)^2+0.042*(F1480)+1.483</f>
        <v>1.4830000000000001</v>
      </c>
      <c r="I1480" s="302">
        <f>0*(F1480)^3+0*(F1480)^2+0.049*(F1480)+1.93</f>
        <v>1.93</v>
      </c>
      <c r="O1480" s="47"/>
    </row>
    <row r="1481" spans="1:15" x14ac:dyDescent="0.25">
      <c r="A1481" s="304">
        <v>4</v>
      </c>
      <c r="B1481" s="278">
        <v>51.57</v>
      </c>
      <c r="C1481" s="278">
        <v>34</v>
      </c>
      <c r="D1481" s="305">
        <v>25.16</v>
      </c>
      <c r="F1481" s="285"/>
      <c r="G1481" s="285"/>
      <c r="H1481" s="285"/>
      <c r="O1481" s="47"/>
    </row>
    <row r="1482" spans="1:15" x14ac:dyDescent="0.25">
      <c r="A1482" s="304">
        <v>5</v>
      </c>
      <c r="B1482" s="306">
        <f>(B1481+B1483)/2</f>
        <v>49.879999999999995</v>
      </c>
      <c r="C1482" s="306">
        <f>(C1481+C1483)/2</f>
        <v>33.594999999999999</v>
      </c>
      <c r="D1482" s="316">
        <f>(D1481+D1483)/2</f>
        <v>25.005000000000003</v>
      </c>
      <c r="F1482" s="285"/>
      <c r="G1482" s="285"/>
      <c r="H1482" s="285"/>
      <c r="O1482" s="47"/>
    </row>
    <row r="1483" spans="1:15" x14ac:dyDescent="0.25">
      <c r="A1483" s="304">
        <v>6</v>
      </c>
      <c r="B1483" s="278">
        <v>48.19</v>
      </c>
      <c r="C1483" s="278">
        <v>33.19</v>
      </c>
      <c r="D1483" s="305">
        <v>24.85</v>
      </c>
      <c r="F1483" s="104" t="s">
        <v>254</v>
      </c>
      <c r="G1483" s="104"/>
      <c r="H1483" s="310"/>
      <c r="O1483" s="47"/>
    </row>
    <row r="1484" spans="1:15" x14ac:dyDescent="0.25">
      <c r="A1484" s="304">
        <v>7</v>
      </c>
      <c r="B1484" s="306">
        <f>(B1483+B1485)/2</f>
        <v>45.664999999999999</v>
      </c>
      <c r="C1484" s="306">
        <f>(C1483+C1485)/2</f>
        <v>32.479999999999997</v>
      </c>
      <c r="D1484" s="316">
        <f>(D1483+D1485)/2</f>
        <v>24.585000000000001</v>
      </c>
      <c r="F1484" s="35" t="s">
        <v>255</v>
      </c>
      <c r="G1484" s="35">
        <v>85</v>
      </c>
      <c r="H1484" s="108"/>
      <c r="O1484" s="47"/>
    </row>
    <row r="1485" spans="1:15" x14ac:dyDescent="0.25">
      <c r="A1485" s="304">
        <v>8</v>
      </c>
      <c r="B1485" s="278">
        <v>43.14</v>
      </c>
      <c r="C1485" s="278">
        <v>31.77</v>
      </c>
      <c r="D1485" s="305">
        <v>24.32</v>
      </c>
      <c r="F1485" s="35" t="s">
        <v>295</v>
      </c>
      <c r="G1485" s="35">
        <v>54</v>
      </c>
      <c r="H1485" s="108"/>
      <c r="O1485" s="47"/>
    </row>
    <row r="1486" spans="1:15" x14ac:dyDescent="0.25">
      <c r="A1486" s="304">
        <v>9</v>
      </c>
      <c r="B1486" s="306">
        <f>(B1485+B1487)/2</f>
        <v>40.44</v>
      </c>
      <c r="C1486" s="306">
        <f>(C1485+C1487)/2</f>
        <v>30.799999999999997</v>
      </c>
      <c r="D1486" s="316">
        <f>(D1485+D1487)/2</f>
        <v>23.92</v>
      </c>
      <c r="F1486" s="35" t="s">
        <v>257</v>
      </c>
      <c r="G1486" s="309">
        <f>G1485/G1484</f>
        <v>0.63529411764705879</v>
      </c>
      <c r="H1486" s="108"/>
      <c r="O1486" s="47"/>
    </row>
    <row r="1487" spans="1:15" x14ac:dyDescent="0.25">
      <c r="A1487" s="304">
        <v>10</v>
      </c>
      <c r="B1487" s="278">
        <v>37.74</v>
      </c>
      <c r="C1487" s="278">
        <v>29.83</v>
      </c>
      <c r="D1487" s="305">
        <v>23.52</v>
      </c>
      <c r="O1487" s="47"/>
    </row>
    <row r="1488" spans="1:15" x14ac:dyDescent="0.25">
      <c r="A1488" s="304">
        <v>11</v>
      </c>
      <c r="B1488" s="306">
        <f>(B1487+B1489)/2</f>
        <v>35.314999999999998</v>
      </c>
      <c r="C1488" s="306">
        <f>(C1487+C1489)/2</f>
        <v>28.74</v>
      </c>
      <c r="D1488" s="316">
        <f>(D1487+D1489)/2</f>
        <v>23.015000000000001</v>
      </c>
      <c r="F1488" s="285"/>
      <c r="G1488" s="285"/>
      <c r="H1488" s="285"/>
      <c r="O1488" s="47"/>
    </row>
    <row r="1489" spans="1:15" ht="15.75" thickBot="1" x14ac:dyDescent="0.3">
      <c r="A1489" s="307">
        <v>12</v>
      </c>
      <c r="B1489" s="283">
        <v>32.89</v>
      </c>
      <c r="C1489" s="283">
        <v>27.65</v>
      </c>
      <c r="D1489" s="308">
        <v>22.51</v>
      </c>
      <c r="O1489" s="47"/>
    </row>
    <row r="1490" spans="1:15" x14ac:dyDescent="0.25">
      <c r="O1490" s="47"/>
    </row>
    <row r="1491" spans="1:15" x14ac:dyDescent="0.25">
      <c r="K1491" s="317"/>
      <c r="L1491" s="317"/>
      <c r="M1491" s="317"/>
      <c r="N1491" s="317"/>
      <c r="O1491" s="47"/>
    </row>
    <row r="1492" spans="1:15" x14ac:dyDescent="0.25">
      <c r="A1492" s="239" t="s">
        <v>241</v>
      </c>
      <c r="B1492" s="239"/>
      <c r="K1492" s="45"/>
      <c r="L1492" s="45"/>
      <c r="M1492" s="45"/>
      <c r="N1492" s="45"/>
      <c r="O1492" s="47"/>
    </row>
    <row r="1493" spans="1:15" x14ac:dyDescent="0.25">
      <c r="A1493" t="s">
        <v>296</v>
      </c>
      <c r="C1493" t="s">
        <v>227</v>
      </c>
    </row>
    <row r="1494" spans="1:15" x14ac:dyDescent="0.25">
      <c r="A1494" s="43" t="s">
        <v>228</v>
      </c>
      <c r="B1494" s="43">
        <v>17.420000000000002</v>
      </c>
    </row>
    <row r="1495" spans="1:15" x14ac:dyDescent="0.25">
      <c r="A1495" s="43" t="s">
        <v>99</v>
      </c>
      <c r="B1495" s="169" t="str">
        <f>$B$20</f>
        <v>P</v>
      </c>
      <c r="C1495" s="575" t="s">
        <v>229</v>
      </c>
      <c r="D1495" s="575"/>
      <c r="E1495" s="575"/>
      <c r="F1495" s="575" t="s">
        <v>230</v>
      </c>
      <c r="G1495" s="576"/>
      <c r="H1495" s="576"/>
      <c r="I1495" s="575" t="s">
        <v>231</v>
      </c>
      <c r="J1495" s="575"/>
      <c r="K1495" s="575"/>
      <c r="L1495" s="575" t="s">
        <v>240</v>
      </c>
      <c r="M1495" s="575"/>
      <c r="N1495" s="575"/>
    </row>
    <row r="1496" spans="1:15" x14ac:dyDescent="0.25">
      <c r="A1496" s="35" t="s">
        <v>18</v>
      </c>
      <c r="B1496" s="95" t="s">
        <v>20</v>
      </c>
      <c r="C1496" s="270" t="s">
        <v>233</v>
      </c>
      <c r="D1496" s="270" t="s">
        <v>234</v>
      </c>
      <c r="E1496" s="270" t="s">
        <v>235</v>
      </c>
      <c r="F1496" s="270" t="s">
        <v>233</v>
      </c>
      <c r="G1496" s="270" t="s">
        <v>234</v>
      </c>
      <c r="H1496" s="270" t="s">
        <v>235</v>
      </c>
      <c r="I1496" s="270" t="s">
        <v>233</v>
      </c>
      <c r="J1496" s="270" t="s">
        <v>234</v>
      </c>
      <c r="K1496" s="270" t="s">
        <v>235</v>
      </c>
      <c r="L1496" s="270" t="s">
        <v>233</v>
      </c>
      <c r="M1496" s="270" t="s">
        <v>234</v>
      </c>
      <c r="N1496" s="270" t="s">
        <v>235</v>
      </c>
    </row>
    <row r="1497" spans="1:15" x14ac:dyDescent="0.25">
      <c r="A1497" s="271">
        <v>0</v>
      </c>
      <c r="B1497" s="272">
        <f>B22*'CO '!$G$1486</f>
        <v>52.72941176470588</v>
      </c>
      <c r="C1497" s="273">
        <f>B1497</f>
        <v>52.72941176470588</v>
      </c>
      <c r="D1497" s="273">
        <f>C1497</f>
        <v>52.72941176470588</v>
      </c>
      <c r="E1497" s="273">
        <f>D1497</f>
        <v>52.72941176470588</v>
      </c>
      <c r="F1497" s="266">
        <f>IF(C1497&gt;$B$1479,2,IF(C1497&gt;$B$1480,3,IF(C1497&gt;$B$1481,4,IF(C1497&gt;$B$1482,5,IF(C1497&gt;$B$1483,6,IF(C1497&gt;$B$1484,7,IF(C1497&gt;$B$1485,8,IF(C1497&gt;$B$1486,9,IF(C1497&gt;$B$1487,10,IF(C1497&gt;$B$1488,11,IF(C1497&gt;$B$1489,12,12)))))))))))</f>
        <v>3</v>
      </c>
      <c r="G1497" s="266">
        <f>IF(D1497&gt;$C$1479,2,IF(D1497&gt;$C$1480,3,IF(D1497&gt;$C$1481,4,IF(D1497&gt;$C$1482,5,IF(D1497&gt;$C$1483,6,IF(D1497&gt;$C$1484,7,IF(D1497&gt;$C$1485,8,IF(D1497&gt;$C$1486,9,IF(D1497&gt;$C$1487,10,IF(D1497&gt;$C$1488,11,IF(D1497&gt;$C$1489,12,12)))))))))))</f>
        <v>2</v>
      </c>
      <c r="H1497" s="266">
        <f>IF(E1497&gt;$D$1479,2,IF(E1497&gt;$D$1480,3,IF(E1497&gt;$D$1481,4,IF(E1497&gt;$D$1482,5,IF(E1497&gt;$D$1483,6,IF(E1497&gt;$D$1484,7,IF(E1497&gt;$D$1485,8,IF(E1497&gt;$D$1486,9,IF(E1497&gt;$D$1487,10,IF(E1497&gt;$D$1488,11,IF(E1497&gt;$D$1489,12,12)))))))))))</f>
        <v>2</v>
      </c>
      <c r="I1497" s="312">
        <f>0.00009*(F1497)^3-0.00125*(F1497)^2+0.05*(F1497)+1.073</f>
        <v>1.21418</v>
      </c>
      <c r="J1497" s="312">
        <f>-0.00005*(G1497)^3+0.0011*(G1497)^2+0.042*(G1497)+1.483</f>
        <v>1.5710000000000002</v>
      </c>
      <c r="K1497" s="312">
        <f>0*(H1497)^3+0*(H1497)^2+0.049*(H1497)+1.93</f>
        <v>2.028</v>
      </c>
      <c r="L1497" s="204">
        <f>I1497*$B$1494</f>
        <v>21.151015600000004</v>
      </c>
      <c r="M1497" s="204">
        <f>J1497*$B$1494</f>
        <v>27.366820000000004</v>
      </c>
      <c r="N1497" s="204">
        <f>K1497*$B$1494</f>
        <v>35.327760000000005</v>
      </c>
    </row>
    <row r="1498" spans="1:15" x14ac:dyDescent="0.25">
      <c r="A1498" s="271">
        <v>1</v>
      </c>
      <c r="B1498" s="272">
        <f>B23*'CO '!$G$1486</f>
        <v>52.72941176470588</v>
      </c>
      <c r="C1498" s="273">
        <f t="shared" ref="C1498:C1529" si="367">B1498</f>
        <v>52.72941176470588</v>
      </c>
      <c r="D1498" s="311">
        <f>C1498</f>
        <v>52.72941176470588</v>
      </c>
      <c r="E1498" s="311">
        <f>D1498</f>
        <v>52.72941176470588</v>
      </c>
      <c r="F1498" s="266">
        <f t="shared" ref="F1498:F1527" si="368">IF(C1498&gt;$B$1479,2,IF(C1498&gt;$B$1480,3,IF(C1498&gt;$B$1481,4,IF(C1498&gt;$B$1482,5,IF(C1498&gt;$B$1483,6,IF(C1498&gt;$B$1484,7,IF(C1498&gt;$B$1485,8,IF(C1498&gt;$B$1486,9,IF(C1498&gt;$B$1487,10,IF(C1498&gt;$B$1488,11,IF(C1498&gt;$B$1489,12,12)))))))))))</f>
        <v>3</v>
      </c>
      <c r="G1498" s="266">
        <f t="shared" ref="G1498:G1527" si="369">IF(D1498&gt;$C$1479,2,IF(D1498&gt;$C$1480,3,IF(D1498&gt;$C$1481,4,IF(D1498&gt;$C$1482,5,IF(D1498&gt;$C$1483,6,IF(D1498&gt;$C$1484,7,IF(D1498&gt;$C$1485,8,IF(D1498&gt;$C$1486,9,IF(D1498&gt;$C$1487,10,IF(D1498&gt;$C$1488,11,IF(D1498&gt;$C$1489,12,12)))))))))))</f>
        <v>2</v>
      </c>
      <c r="H1498" s="266">
        <f t="shared" ref="H1498:H1527" si="370">IF(E1498&gt;$D$1479,2,IF(E1498&gt;$D$1480,3,IF(E1498&gt;$D$1481,4,IF(E1498&gt;$D$1482,5,IF(E1498&gt;$D$1483,6,IF(E1498&gt;$D$1484,7,IF(E1498&gt;$D$1485,8,IF(E1498&gt;$D$1486,9,IF(E1498&gt;$D$1487,10,IF(E1498&gt;$D$1488,11,IF(E1498&gt;$D$1489,12,12)))))))))))</f>
        <v>2</v>
      </c>
      <c r="I1498" s="312">
        <f t="shared" ref="I1498:I1527" si="371">0.00009*(F1498)^3-0.00125*(F1498)^2+0.05*(F1498)+1.073</f>
        <v>1.21418</v>
      </c>
      <c r="J1498" s="312">
        <f t="shared" ref="J1498:J1527" si="372">-0.00005*(G1498)^3+0.0011*(G1498)^2+0.042*(G1498)+1.483</f>
        <v>1.5710000000000002</v>
      </c>
      <c r="K1498" s="312">
        <f t="shared" ref="K1498:K1527" si="373">0*(H1498)^3+0*(H1498)^2+0.049*(H1498)+1.93</f>
        <v>2.028</v>
      </c>
      <c r="L1498" s="204">
        <f t="shared" ref="L1498:L1527" si="374">I1498*$B$1494</f>
        <v>21.151015600000004</v>
      </c>
      <c r="M1498" s="204">
        <f t="shared" ref="M1498:M1527" si="375">J1498*$B$1494</f>
        <v>27.366820000000004</v>
      </c>
      <c r="N1498" s="204">
        <f t="shared" ref="N1498:N1527" si="376">K1498*$B$1494</f>
        <v>35.327760000000005</v>
      </c>
    </row>
    <row r="1499" spans="1:15" x14ac:dyDescent="0.25">
      <c r="A1499" s="271">
        <v>2</v>
      </c>
      <c r="B1499" s="272">
        <f>B24*'CO '!$G$1486</f>
        <v>52.72941176470588</v>
      </c>
      <c r="C1499" s="273">
        <f t="shared" si="367"/>
        <v>52.72941176470588</v>
      </c>
      <c r="D1499" s="273">
        <f>C1499</f>
        <v>52.72941176470588</v>
      </c>
      <c r="E1499" s="273">
        <f>D1499</f>
        <v>52.72941176470588</v>
      </c>
      <c r="F1499" s="266">
        <f t="shared" si="368"/>
        <v>3</v>
      </c>
      <c r="G1499" s="266">
        <f t="shared" si="369"/>
        <v>2</v>
      </c>
      <c r="H1499" s="266">
        <f t="shared" si="370"/>
        <v>2</v>
      </c>
      <c r="I1499" s="312">
        <f t="shared" si="371"/>
        <v>1.21418</v>
      </c>
      <c r="J1499" s="312">
        <f t="shared" si="372"/>
        <v>1.5710000000000002</v>
      </c>
      <c r="K1499" s="312">
        <f t="shared" si="373"/>
        <v>2.028</v>
      </c>
      <c r="L1499" s="204">
        <f t="shared" si="374"/>
        <v>21.151015600000004</v>
      </c>
      <c r="M1499" s="204">
        <f t="shared" si="375"/>
        <v>27.366820000000004</v>
      </c>
      <c r="N1499" s="204">
        <f t="shared" si="376"/>
        <v>35.327760000000005</v>
      </c>
    </row>
    <row r="1500" spans="1:15" x14ac:dyDescent="0.25">
      <c r="A1500" s="271">
        <v>3</v>
      </c>
      <c r="B1500" s="272">
        <f>B25*'CO '!$G$1486</f>
        <v>52.72941176470588</v>
      </c>
      <c r="C1500" s="273">
        <f t="shared" si="367"/>
        <v>52.72941176470588</v>
      </c>
      <c r="D1500" s="273">
        <f t="shared" ref="D1500:D1527" si="377">C1500</f>
        <v>52.72941176470588</v>
      </c>
      <c r="E1500" s="273">
        <f t="shared" ref="E1500:E1527" si="378">D1500</f>
        <v>52.72941176470588</v>
      </c>
      <c r="F1500" s="266">
        <f t="shared" si="368"/>
        <v>3</v>
      </c>
      <c r="G1500" s="266">
        <f t="shared" si="369"/>
        <v>2</v>
      </c>
      <c r="H1500" s="266">
        <f t="shared" si="370"/>
        <v>2</v>
      </c>
      <c r="I1500" s="312">
        <f t="shared" si="371"/>
        <v>1.21418</v>
      </c>
      <c r="J1500" s="312">
        <f t="shared" si="372"/>
        <v>1.5710000000000002</v>
      </c>
      <c r="K1500" s="312">
        <f t="shared" si="373"/>
        <v>2.028</v>
      </c>
      <c r="L1500" s="204">
        <f t="shared" si="374"/>
        <v>21.151015600000004</v>
      </c>
      <c r="M1500" s="204">
        <f t="shared" si="375"/>
        <v>27.366820000000004</v>
      </c>
      <c r="N1500" s="204">
        <f t="shared" si="376"/>
        <v>35.327760000000005</v>
      </c>
    </row>
    <row r="1501" spans="1:15" x14ac:dyDescent="0.25">
      <c r="A1501" s="271">
        <v>4</v>
      </c>
      <c r="B1501" s="272">
        <f>B26*'CO '!$G$1486</f>
        <v>52.72941176470588</v>
      </c>
      <c r="C1501" s="273">
        <f t="shared" si="367"/>
        <v>52.72941176470588</v>
      </c>
      <c r="D1501" s="273">
        <f t="shared" si="377"/>
        <v>52.72941176470588</v>
      </c>
      <c r="E1501" s="273">
        <f t="shared" si="378"/>
        <v>52.72941176470588</v>
      </c>
      <c r="F1501" s="266">
        <f t="shared" si="368"/>
        <v>3</v>
      </c>
      <c r="G1501" s="266">
        <f t="shared" si="369"/>
        <v>2</v>
      </c>
      <c r="H1501" s="266">
        <f t="shared" si="370"/>
        <v>2</v>
      </c>
      <c r="I1501" s="312">
        <f t="shared" si="371"/>
        <v>1.21418</v>
      </c>
      <c r="J1501" s="312">
        <f t="shared" si="372"/>
        <v>1.5710000000000002</v>
      </c>
      <c r="K1501" s="312">
        <f t="shared" si="373"/>
        <v>2.028</v>
      </c>
      <c r="L1501" s="204">
        <f t="shared" si="374"/>
        <v>21.151015600000004</v>
      </c>
      <c r="M1501" s="204">
        <f t="shared" si="375"/>
        <v>27.366820000000004</v>
      </c>
      <c r="N1501" s="204">
        <f t="shared" si="376"/>
        <v>35.327760000000005</v>
      </c>
    </row>
    <row r="1502" spans="1:15" x14ac:dyDescent="0.25">
      <c r="A1502" s="271">
        <v>5</v>
      </c>
      <c r="B1502" s="272">
        <f>B27*'CO '!$G$1486</f>
        <v>52.72941176470588</v>
      </c>
      <c r="C1502" s="273">
        <f t="shared" si="367"/>
        <v>52.72941176470588</v>
      </c>
      <c r="D1502" s="273">
        <f t="shared" si="377"/>
        <v>52.72941176470588</v>
      </c>
      <c r="E1502" s="273">
        <f t="shared" si="378"/>
        <v>52.72941176470588</v>
      </c>
      <c r="F1502" s="266">
        <f t="shared" si="368"/>
        <v>3</v>
      </c>
      <c r="G1502" s="266">
        <f t="shared" si="369"/>
        <v>2</v>
      </c>
      <c r="H1502" s="266">
        <f t="shared" si="370"/>
        <v>2</v>
      </c>
      <c r="I1502" s="312">
        <f t="shared" si="371"/>
        <v>1.21418</v>
      </c>
      <c r="J1502" s="312">
        <f t="shared" si="372"/>
        <v>1.5710000000000002</v>
      </c>
      <c r="K1502" s="312">
        <f t="shared" si="373"/>
        <v>2.028</v>
      </c>
      <c r="L1502" s="204">
        <f t="shared" si="374"/>
        <v>21.151015600000004</v>
      </c>
      <c r="M1502" s="204">
        <f t="shared" si="375"/>
        <v>27.366820000000004</v>
      </c>
      <c r="N1502" s="204">
        <f t="shared" si="376"/>
        <v>35.327760000000005</v>
      </c>
    </row>
    <row r="1503" spans="1:15" x14ac:dyDescent="0.25">
      <c r="A1503" s="271">
        <v>6</v>
      </c>
      <c r="B1503" s="272">
        <f>B28*'CO '!$G$1486</f>
        <v>52.72941176470588</v>
      </c>
      <c r="C1503" s="273">
        <f t="shared" si="367"/>
        <v>52.72941176470588</v>
      </c>
      <c r="D1503" s="273">
        <f t="shared" si="377"/>
        <v>52.72941176470588</v>
      </c>
      <c r="E1503" s="273">
        <f t="shared" si="378"/>
        <v>52.72941176470588</v>
      </c>
      <c r="F1503" s="266">
        <f t="shared" si="368"/>
        <v>3</v>
      </c>
      <c r="G1503" s="266">
        <f t="shared" si="369"/>
        <v>2</v>
      </c>
      <c r="H1503" s="266">
        <f t="shared" si="370"/>
        <v>2</v>
      </c>
      <c r="I1503" s="312">
        <f t="shared" si="371"/>
        <v>1.21418</v>
      </c>
      <c r="J1503" s="312">
        <f t="shared" si="372"/>
        <v>1.5710000000000002</v>
      </c>
      <c r="K1503" s="312">
        <f t="shared" si="373"/>
        <v>2.028</v>
      </c>
      <c r="L1503" s="204">
        <f t="shared" si="374"/>
        <v>21.151015600000004</v>
      </c>
      <c r="M1503" s="204">
        <f t="shared" si="375"/>
        <v>27.366820000000004</v>
      </c>
      <c r="N1503" s="204">
        <f t="shared" si="376"/>
        <v>35.327760000000005</v>
      </c>
    </row>
    <row r="1504" spans="1:15" x14ac:dyDescent="0.25">
      <c r="A1504" s="271">
        <v>7</v>
      </c>
      <c r="B1504" s="272">
        <f>B29*'CO '!$G$1486</f>
        <v>52.72941176470588</v>
      </c>
      <c r="C1504" s="273">
        <f t="shared" si="367"/>
        <v>52.72941176470588</v>
      </c>
      <c r="D1504" s="273">
        <f t="shared" si="377"/>
        <v>52.72941176470588</v>
      </c>
      <c r="E1504" s="273">
        <f t="shared" si="378"/>
        <v>52.72941176470588</v>
      </c>
      <c r="F1504" s="266">
        <f t="shared" si="368"/>
        <v>3</v>
      </c>
      <c r="G1504" s="266">
        <f t="shared" si="369"/>
        <v>2</v>
      </c>
      <c r="H1504" s="266">
        <f t="shared" si="370"/>
        <v>2</v>
      </c>
      <c r="I1504" s="312">
        <f t="shared" si="371"/>
        <v>1.21418</v>
      </c>
      <c r="J1504" s="312">
        <f t="shared" si="372"/>
        <v>1.5710000000000002</v>
      </c>
      <c r="K1504" s="312">
        <f t="shared" si="373"/>
        <v>2.028</v>
      </c>
      <c r="L1504" s="204">
        <f t="shared" si="374"/>
        <v>21.151015600000004</v>
      </c>
      <c r="M1504" s="204">
        <f t="shared" si="375"/>
        <v>27.366820000000004</v>
      </c>
      <c r="N1504" s="204">
        <f t="shared" si="376"/>
        <v>35.327760000000005</v>
      </c>
    </row>
    <row r="1505" spans="1:14" x14ac:dyDescent="0.25">
      <c r="A1505" s="271">
        <v>8</v>
      </c>
      <c r="B1505" s="272">
        <f>B30*'CO '!$G$1486</f>
        <v>52.72941176470588</v>
      </c>
      <c r="C1505" s="273">
        <f t="shared" si="367"/>
        <v>52.72941176470588</v>
      </c>
      <c r="D1505" s="273">
        <f t="shared" si="377"/>
        <v>52.72941176470588</v>
      </c>
      <c r="E1505" s="273">
        <f t="shared" si="378"/>
        <v>52.72941176470588</v>
      </c>
      <c r="F1505" s="266">
        <f t="shared" si="368"/>
        <v>3</v>
      </c>
      <c r="G1505" s="266">
        <f t="shared" si="369"/>
        <v>2</v>
      </c>
      <c r="H1505" s="266">
        <f t="shared" si="370"/>
        <v>2</v>
      </c>
      <c r="I1505" s="312">
        <f t="shared" si="371"/>
        <v>1.21418</v>
      </c>
      <c r="J1505" s="312">
        <f t="shared" si="372"/>
        <v>1.5710000000000002</v>
      </c>
      <c r="K1505" s="312">
        <f t="shared" si="373"/>
        <v>2.028</v>
      </c>
      <c r="L1505" s="204">
        <f t="shared" si="374"/>
        <v>21.151015600000004</v>
      </c>
      <c r="M1505" s="204">
        <f t="shared" si="375"/>
        <v>27.366820000000004</v>
      </c>
      <c r="N1505" s="204">
        <f t="shared" si="376"/>
        <v>35.327760000000005</v>
      </c>
    </row>
    <row r="1506" spans="1:14" x14ac:dyDescent="0.25">
      <c r="A1506" s="271">
        <v>9</v>
      </c>
      <c r="B1506" s="272">
        <f>B31*'CO '!$G$1486</f>
        <v>52.72941176470588</v>
      </c>
      <c r="C1506" s="273">
        <f t="shared" si="367"/>
        <v>52.72941176470588</v>
      </c>
      <c r="D1506" s="273">
        <f t="shared" si="377"/>
        <v>52.72941176470588</v>
      </c>
      <c r="E1506" s="273">
        <f t="shared" si="378"/>
        <v>52.72941176470588</v>
      </c>
      <c r="F1506" s="266">
        <f t="shared" si="368"/>
        <v>3</v>
      </c>
      <c r="G1506" s="266">
        <f t="shared" si="369"/>
        <v>2</v>
      </c>
      <c r="H1506" s="266">
        <f t="shared" si="370"/>
        <v>2</v>
      </c>
      <c r="I1506" s="312">
        <f t="shared" si="371"/>
        <v>1.21418</v>
      </c>
      <c r="J1506" s="312">
        <f t="shared" si="372"/>
        <v>1.5710000000000002</v>
      </c>
      <c r="K1506" s="312">
        <f t="shared" si="373"/>
        <v>2.028</v>
      </c>
      <c r="L1506" s="204">
        <f t="shared" si="374"/>
        <v>21.151015600000004</v>
      </c>
      <c r="M1506" s="204">
        <f t="shared" si="375"/>
        <v>27.366820000000004</v>
      </c>
      <c r="N1506" s="204">
        <f t="shared" si="376"/>
        <v>35.327760000000005</v>
      </c>
    </row>
    <row r="1507" spans="1:14" x14ac:dyDescent="0.25">
      <c r="A1507" s="271">
        <v>10</v>
      </c>
      <c r="B1507" s="272">
        <f>B32*'CO '!$G$1486</f>
        <v>52.72941176470588</v>
      </c>
      <c r="C1507" s="273">
        <f t="shared" si="367"/>
        <v>52.72941176470588</v>
      </c>
      <c r="D1507" s="273">
        <f t="shared" si="377"/>
        <v>52.72941176470588</v>
      </c>
      <c r="E1507" s="273">
        <f t="shared" si="378"/>
        <v>52.72941176470588</v>
      </c>
      <c r="F1507" s="266">
        <f t="shared" si="368"/>
        <v>3</v>
      </c>
      <c r="G1507" s="266">
        <f t="shared" si="369"/>
        <v>2</v>
      </c>
      <c r="H1507" s="266">
        <f t="shared" si="370"/>
        <v>2</v>
      </c>
      <c r="I1507" s="312">
        <f t="shared" si="371"/>
        <v>1.21418</v>
      </c>
      <c r="J1507" s="312">
        <f t="shared" si="372"/>
        <v>1.5710000000000002</v>
      </c>
      <c r="K1507" s="312">
        <f t="shared" si="373"/>
        <v>2.028</v>
      </c>
      <c r="L1507" s="204">
        <f t="shared" si="374"/>
        <v>21.151015600000004</v>
      </c>
      <c r="M1507" s="204">
        <f t="shared" si="375"/>
        <v>27.366820000000004</v>
      </c>
      <c r="N1507" s="204">
        <f t="shared" si="376"/>
        <v>35.327760000000005</v>
      </c>
    </row>
    <row r="1508" spans="1:14" x14ac:dyDescent="0.25">
      <c r="A1508" s="271">
        <v>11</v>
      </c>
      <c r="B1508" s="272">
        <f>B33*'CO '!$G$1486</f>
        <v>52.72941176470588</v>
      </c>
      <c r="C1508" s="273">
        <f t="shared" si="367"/>
        <v>52.72941176470588</v>
      </c>
      <c r="D1508" s="273">
        <f t="shared" si="377"/>
        <v>52.72941176470588</v>
      </c>
      <c r="E1508" s="273">
        <f t="shared" si="378"/>
        <v>52.72941176470588</v>
      </c>
      <c r="F1508" s="266">
        <f t="shared" si="368"/>
        <v>3</v>
      </c>
      <c r="G1508" s="266">
        <f t="shared" si="369"/>
        <v>2</v>
      </c>
      <c r="H1508" s="266">
        <f t="shared" si="370"/>
        <v>2</v>
      </c>
      <c r="I1508" s="312">
        <f t="shared" si="371"/>
        <v>1.21418</v>
      </c>
      <c r="J1508" s="312">
        <f t="shared" si="372"/>
        <v>1.5710000000000002</v>
      </c>
      <c r="K1508" s="312">
        <f t="shared" si="373"/>
        <v>2.028</v>
      </c>
      <c r="L1508" s="204">
        <f t="shared" si="374"/>
        <v>21.151015600000004</v>
      </c>
      <c r="M1508" s="204">
        <f t="shared" si="375"/>
        <v>27.366820000000004</v>
      </c>
      <c r="N1508" s="204">
        <f t="shared" si="376"/>
        <v>35.327760000000005</v>
      </c>
    </row>
    <row r="1509" spans="1:14" x14ac:dyDescent="0.25">
      <c r="A1509" s="271">
        <v>12</v>
      </c>
      <c r="B1509" s="272">
        <f>B34*'CO '!$G$1486</f>
        <v>52.72941176470588</v>
      </c>
      <c r="C1509" s="273">
        <f t="shared" si="367"/>
        <v>52.72941176470588</v>
      </c>
      <c r="D1509" s="273">
        <f t="shared" si="377"/>
        <v>52.72941176470588</v>
      </c>
      <c r="E1509" s="273">
        <f t="shared" si="378"/>
        <v>52.72941176470588</v>
      </c>
      <c r="F1509" s="266">
        <f t="shared" si="368"/>
        <v>3</v>
      </c>
      <c r="G1509" s="266">
        <f t="shared" si="369"/>
        <v>2</v>
      </c>
      <c r="H1509" s="266">
        <f t="shared" si="370"/>
        <v>2</v>
      </c>
      <c r="I1509" s="312">
        <f t="shared" si="371"/>
        <v>1.21418</v>
      </c>
      <c r="J1509" s="312">
        <f t="shared" si="372"/>
        <v>1.5710000000000002</v>
      </c>
      <c r="K1509" s="312">
        <f t="shared" si="373"/>
        <v>2.028</v>
      </c>
      <c r="L1509" s="204">
        <f t="shared" si="374"/>
        <v>21.151015600000004</v>
      </c>
      <c r="M1509" s="204">
        <f t="shared" si="375"/>
        <v>27.366820000000004</v>
      </c>
      <c r="N1509" s="204">
        <f t="shared" si="376"/>
        <v>35.327760000000005</v>
      </c>
    </row>
    <row r="1510" spans="1:14" x14ac:dyDescent="0.25">
      <c r="A1510" s="271">
        <v>13</v>
      </c>
      <c r="B1510" s="272">
        <f>B35*'CO '!$G$1486</f>
        <v>52.72941176470588</v>
      </c>
      <c r="C1510" s="273">
        <f t="shared" si="367"/>
        <v>52.72941176470588</v>
      </c>
      <c r="D1510" s="273">
        <f t="shared" si="377"/>
        <v>52.72941176470588</v>
      </c>
      <c r="E1510" s="273">
        <f t="shared" si="378"/>
        <v>52.72941176470588</v>
      </c>
      <c r="F1510" s="266">
        <f t="shared" si="368"/>
        <v>3</v>
      </c>
      <c r="G1510" s="266">
        <f t="shared" si="369"/>
        <v>2</v>
      </c>
      <c r="H1510" s="266">
        <f t="shared" si="370"/>
        <v>2</v>
      </c>
      <c r="I1510" s="312">
        <f t="shared" si="371"/>
        <v>1.21418</v>
      </c>
      <c r="J1510" s="312">
        <f t="shared" si="372"/>
        <v>1.5710000000000002</v>
      </c>
      <c r="K1510" s="312">
        <f t="shared" si="373"/>
        <v>2.028</v>
      </c>
      <c r="L1510" s="204">
        <f t="shared" si="374"/>
        <v>21.151015600000004</v>
      </c>
      <c r="M1510" s="204">
        <f t="shared" si="375"/>
        <v>27.366820000000004</v>
      </c>
      <c r="N1510" s="204">
        <f t="shared" si="376"/>
        <v>35.327760000000005</v>
      </c>
    </row>
    <row r="1511" spans="1:14" x14ac:dyDescent="0.25">
      <c r="A1511" s="271">
        <v>14</v>
      </c>
      <c r="B1511" s="272">
        <f>B36*'CO '!$G$1486</f>
        <v>50.823529411764703</v>
      </c>
      <c r="C1511" s="273">
        <f t="shared" si="367"/>
        <v>50.823529411764703</v>
      </c>
      <c r="D1511" s="273">
        <f t="shared" si="377"/>
        <v>50.823529411764703</v>
      </c>
      <c r="E1511" s="273">
        <f t="shared" si="378"/>
        <v>50.823529411764703</v>
      </c>
      <c r="F1511" s="266">
        <f t="shared" si="368"/>
        <v>5</v>
      </c>
      <c r="G1511" s="266">
        <f t="shared" si="369"/>
        <v>2</v>
      </c>
      <c r="H1511" s="266">
        <f t="shared" si="370"/>
        <v>2</v>
      </c>
      <c r="I1511" s="312">
        <f t="shared" si="371"/>
        <v>1.3029999999999999</v>
      </c>
      <c r="J1511" s="312">
        <f t="shared" si="372"/>
        <v>1.5710000000000002</v>
      </c>
      <c r="K1511" s="312">
        <f t="shared" si="373"/>
        <v>2.028</v>
      </c>
      <c r="L1511" s="204">
        <f t="shared" si="374"/>
        <v>22.698260000000001</v>
      </c>
      <c r="M1511" s="204">
        <f t="shared" si="375"/>
        <v>27.366820000000004</v>
      </c>
      <c r="N1511" s="204">
        <f t="shared" si="376"/>
        <v>35.327760000000005</v>
      </c>
    </row>
    <row r="1512" spans="1:14" x14ac:dyDescent="0.25">
      <c r="A1512" s="271">
        <v>15</v>
      </c>
      <c r="B1512" s="272">
        <f>B37*'CO '!$G$1486</f>
        <v>50.823529411764703</v>
      </c>
      <c r="C1512" s="273">
        <f t="shared" si="367"/>
        <v>50.823529411764703</v>
      </c>
      <c r="D1512" s="273">
        <f t="shared" si="377"/>
        <v>50.823529411764703</v>
      </c>
      <c r="E1512" s="273">
        <f t="shared" si="378"/>
        <v>50.823529411764703</v>
      </c>
      <c r="F1512" s="266">
        <f t="shared" si="368"/>
        <v>5</v>
      </c>
      <c r="G1512" s="266">
        <f t="shared" si="369"/>
        <v>2</v>
      </c>
      <c r="H1512" s="266">
        <f t="shared" si="370"/>
        <v>2</v>
      </c>
      <c r="I1512" s="312">
        <f t="shared" si="371"/>
        <v>1.3029999999999999</v>
      </c>
      <c r="J1512" s="312">
        <f t="shared" si="372"/>
        <v>1.5710000000000002</v>
      </c>
      <c r="K1512" s="312">
        <f t="shared" si="373"/>
        <v>2.028</v>
      </c>
      <c r="L1512" s="204">
        <f t="shared" si="374"/>
        <v>22.698260000000001</v>
      </c>
      <c r="M1512" s="204">
        <f t="shared" si="375"/>
        <v>27.366820000000004</v>
      </c>
      <c r="N1512" s="204">
        <f t="shared" si="376"/>
        <v>35.327760000000005</v>
      </c>
    </row>
    <row r="1513" spans="1:14" x14ac:dyDescent="0.25">
      <c r="A1513" s="271">
        <v>16</v>
      </c>
      <c r="B1513" s="272">
        <f>B38*'CO '!$G$1486</f>
        <v>50.823529411764703</v>
      </c>
      <c r="C1513" s="273">
        <f t="shared" si="367"/>
        <v>50.823529411764703</v>
      </c>
      <c r="D1513" s="273">
        <f t="shared" si="377"/>
        <v>50.823529411764703</v>
      </c>
      <c r="E1513" s="273">
        <f t="shared" si="378"/>
        <v>50.823529411764703</v>
      </c>
      <c r="F1513" s="266">
        <f t="shared" si="368"/>
        <v>5</v>
      </c>
      <c r="G1513" s="266">
        <f t="shared" si="369"/>
        <v>2</v>
      </c>
      <c r="H1513" s="266">
        <f t="shared" si="370"/>
        <v>2</v>
      </c>
      <c r="I1513" s="312">
        <f t="shared" si="371"/>
        <v>1.3029999999999999</v>
      </c>
      <c r="J1513" s="312">
        <f t="shared" si="372"/>
        <v>1.5710000000000002</v>
      </c>
      <c r="K1513" s="312">
        <f t="shared" si="373"/>
        <v>2.028</v>
      </c>
      <c r="L1513" s="204">
        <f t="shared" si="374"/>
        <v>22.698260000000001</v>
      </c>
      <c r="M1513" s="204">
        <f t="shared" si="375"/>
        <v>27.366820000000004</v>
      </c>
      <c r="N1513" s="204">
        <f t="shared" si="376"/>
        <v>35.327760000000005</v>
      </c>
    </row>
    <row r="1514" spans="1:14" x14ac:dyDescent="0.25">
      <c r="A1514" s="271">
        <v>17</v>
      </c>
      <c r="B1514" s="272">
        <f>B39*'CO '!$G$1486</f>
        <v>50.823529411764703</v>
      </c>
      <c r="C1514" s="273">
        <f t="shared" si="367"/>
        <v>50.823529411764703</v>
      </c>
      <c r="D1514" s="273">
        <f t="shared" si="377"/>
        <v>50.823529411764703</v>
      </c>
      <c r="E1514" s="273">
        <f t="shared" si="378"/>
        <v>50.823529411764703</v>
      </c>
      <c r="F1514" s="266">
        <f t="shared" si="368"/>
        <v>5</v>
      </c>
      <c r="G1514" s="266">
        <f t="shared" si="369"/>
        <v>2</v>
      </c>
      <c r="H1514" s="266">
        <f t="shared" si="370"/>
        <v>2</v>
      </c>
      <c r="I1514" s="312">
        <f t="shared" si="371"/>
        <v>1.3029999999999999</v>
      </c>
      <c r="J1514" s="312">
        <f t="shared" si="372"/>
        <v>1.5710000000000002</v>
      </c>
      <c r="K1514" s="312">
        <f t="shared" si="373"/>
        <v>2.028</v>
      </c>
      <c r="L1514" s="204">
        <f t="shared" si="374"/>
        <v>22.698260000000001</v>
      </c>
      <c r="M1514" s="204">
        <f t="shared" si="375"/>
        <v>27.366820000000004</v>
      </c>
      <c r="N1514" s="204">
        <f t="shared" si="376"/>
        <v>35.327760000000005</v>
      </c>
    </row>
    <row r="1515" spans="1:14" x14ac:dyDescent="0.25">
      <c r="A1515" s="271">
        <v>18</v>
      </c>
      <c r="B1515" s="272">
        <f>B40*'CO '!$G$1486</f>
        <v>50.823529411764703</v>
      </c>
      <c r="C1515" s="273">
        <f t="shared" si="367"/>
        <v>50.823529411764703</v>
      </c>
      <c r="D1515" s="273">
        <f t="shared" si="377"/>
        <v>50.823529411764703</v>
      </c>
      <c r="E1515" s="273">
        <f t="shared" si="378"/>
        <v>50.823529411764703</v>
      </c>
      <c r="F1515" s="266">
        <f t="shared" si="368"/>
        <v>5</v>
      </c>
      <c r="G1515" s="266">
        <f t="shared" si="369"/>
        <v>2</v>
      </c>
      <c r="H1515" s="266">
        <f t="shared" si="370"/>
        <v>2</v>
      </c>
      <c r="I1515" s="312">
        <f t="shared" si="371"/>
        <v>1.3029999999999999</v>
      </c>
      <c r="J1515" s="312">
        <f t="shared" si="372"/>
        <v>1.5710000000000002</v>
      </c>
      <c r="K1515" s="312">
        <f t="shared" si="373"/>
        <v>2.028</v>
      </c>
      <c r="L1515" s="204">
        <f t="shared" si="374"/>
        <v>22.698260000000001</v>
      </c>
      <c r="M1515" s="204">
        <f t="shared" si="375"/>
        <v>27.366820000000004</v>
      </c>
      <c r="N1515" s="204">
        <f t="shared" si="376"/>
        <v>35.327760000000005</v>
      </c>
    </row>
    <row r="1516" spans="1:14" x14ac:dyDescent="0.25">
      <c r="A1516" s="271">
        <v>19</v>
      </c>
      <c r="B1516" s="272">
        <f>B41*'CO '!$G$1486</f>
        <v>50.823529411764703</v>
      </c>
      <c r="C1516" s="273">
        <f t="shared" si="367"/>
        <v>50.823529411764703</v>
      </c>
      <c r="D1516" s="273">
        <f t="shared" si="377"/>
        <v>50.823529411764703</v>
      </c>
      <c r="E1516" s="273">
        <f t="shared" si="378"/>
        <v>50.823529411764703</v>
      </c>
      <c r="F1516" s="266">
        <f t="shared" si="368"/>
        <v>5</v>
      </c>
      <c r="G1516" s="266">
        <f t="shared" si="369"/>
        <v>2</v>
      </c>
      <c r="H1516" s="266">
        <f t="shared" si="370"/>
        <v>2</v>
      </c>
      <c r="I1516" s="312">
        <f t="shared" si="371"/>
        <v>1.3029999999999999</v>
      </c>
      <c r="J1516" s="312">
        <f t="shared" si="372"/>
        <v>1.5710000000000002</v>
      </c>
      <c r="K1516" s="312">
        <f t="shared" si="373"/>
        <v>2.028</v>
      </c>
      <c r="L1516" s="204">
        <f t="shared" si="374"/>
        <v>22.698260000000001</v>
      </c>
      <c r="M1516" s="204">
        <f t="shared" si="375"/>
        <v>27.366820000000004</v>
      </c>
      <c r="N1516" s="204">
        <f t="shared" si="376"/>
        <v>35.327760000000005</v>
      </c>
    </row>
    <row r="1517" spans="1:14" x14ac:dyDescent="0.25">
      <c r="A1517" s="271">
        <v>20</v>
      </c>
      <c r="B1517" s="272">
        <f>B42*'CO '!$G$1486</f>
        <v>50.823529411764703</v>
      </c>
      <c r="C1517" s="273">
        <f t="shared" si="367"/>
        <v>50.823529411764703</v>
      </c>
      <c r="D1517" s="273">
        <f t="shared" si="377"/>
        <v>50.823529411764703</v>
      </c>
      <c r="E1517" s="273">
        <f t="shared" si="378"/>
        <v>50.823529411764703</v>
      </c>
      <c r="F1517" s="266">
        <f t="shared" si="368"/>
        <v>5</v>
      </c>
      <c r="G1517" s="266">
        <f t="shared" si="369"/>
        <v>2</v>
      </c>
      <c r="H1517" s="266">
        <f t="shared" si="370"/>
        <v>2</v>
      </c>
      <c r="I1517" s="312">
        <f t="shared" si="371"/>
        <v>1.3029999999999999</v>
      </c>
      <c r="J1517" s="312">
        <f t="shared" si="372"/>
        <v>1.5710000000000002</v>
      </c>
      <c r="K1517" s="312">
        <f t="shared" si="373"/>
        <v>2.028</v>
      </c>
      <c r="L1517" s="204">
        <f t="shared" si="374"/>
        <v>22.698260000000001</v>
      </c>
      <c r="M1517" s="204">
        <f t="shared" si="375"/>
        <v>27.366820000000004</v>
      </c>
      <c r="N1517" s="204">
        <f t="shared" si="376"/>
        <v>35.327760000000005</v>
      </c>
    </row>
    <row r="1518" spans="1:14" x14ac:dyDescent="0.25">
      <c r="A1518" s="271">
        <v>21</v>
      </c>
      <c r="B1518" s="272">
        <f>B43*'CO '!$G$1486</f>
        <v>50.823529411764703</v>
      </c>
      <c r="C1518" s="273">
        <f t="shared" si="367"/>
        <v>50.823529411764703</v>
      </c>
      <c r="D1518" s="273">
        <f t="shared" si="377"/>
        <v>50.823529411764703</v>
      </c>
      <c r="E1518" s="273">
        <f t="shared" si="378"/>
        <v>50.823529411764703</v>
      </c>
      <c r="F1518" s="266">
        <f t="shared" si="368"/>
        <v>5</v>
      </c>
      <c r="G1518" s="266">
        <f t="shared" si="369"/>
        <v>2</v>
      </c>
      <c r="H1518" s="266">
        <f t="shared" si="370"/>
        <v>2</v>
      </c>
      <c r="I1518" s="312">
        <f t="shared" si="371"/>
        <v>1.3029999999999999</v>
      </c>
      <c r="J1518" s="312">
        <f t="shared" si="372"/>
        <v>1.5710000000000002</v>
      </c>
      <c r="K1518" s="312">
        <f t="shared" si="373"/>
        <v>2.028</v>
      </c>
      <c r="L1518" s="204">
        <f t="shared" si="374"/>
        <v>22.698260000000001</v>
      </c>
      <c r="M1518" s="204">
        <f t="shared" si="375"/>
        <v>27.366820000000004</v>
      </c>
      <c r="N1518" s="204">
        <f t="shared" si="376"/>
        <v>35.327760000000005</v>
      </c>
    </row>
    <row r="1519" spans="1:14" x14ac:dyDescent="0.25">
      <c r="A1519" s="271">
        <v>22</v>
      </c>
      <c r="B1519" s="272">
        <f>B44*'CO '!$G$1486</f>
        <v>50.823529411764703</v>
      </c>
      <c r="C1519" s="273">
        <f t="shared" si="367"/>
        <v>50.823529411764703</v>
      </c>
      <c r="D1519" s="273">
        <f t="shared" si="377"/>
        <v>50.823529411764703</v>
      </c>
      <c r="E1519" s="273">
        <f t="shared" si="378"/>
        <v>50.823529411764703</v>
      </c>
      <c r="F1519" s="266">
        <f t="shared" si="368"/>
        <v>5</v>
      </c>
      <c r="G1519" s="266">
        <f t="shared" si="369"/>
        <v>2</v>
      </c>
      <c r="H1519" s="266">
        <f t="shared" si="370"/>
        <v>2</v>
      </c>
      <c r="I1519" s="312">
        <f t="shared" si="371"/>
        <v>1.3029999999999999</v>
      </c>
      <c r="J1519" s="312">
        <f t="shared" si="372"/>
        <v>1.5710000000000002</v>
      </c>
      <c r="K1519" s="312">
        <f t="shared" si="373"/>
        <v>2.028</v>
      </c>
      <c r="L1519" s="204">
        <f t="shared" si="374"/>
        <v>22.698260000000001</v>
      </c>
      <c r="M1519" s="204">
        <f t="shared" si="375"/>
        <v>27.366820000000004</v>
      </c>
      <c r="N1519" s="204">
        <f t="shared" si="376"/>
        <v>35.327760000000005</v>
      </c>
    </row>
    <row r="1520" spans="1:14" x14ac:dyDescent="0.25">
      <c r="A1520" s="271">
        <v>23</v>
      </c>
      <c r="B1520" s="272">
        <f>B45*'CO '!$G$1486</f>
        <v>50.823529411764703</v>
      </c>
      <c r="C1520" s="273">
        <f t="shared" si="367"/>
        <v>50.823529411764703</v>
      </c>
      <c r="D1520" s="273">
        <f t="shared" si="377"/>
        <v>50.823529411764703</v>
      </c>
      <c r="E1520" s="273">
        <f t="shared" si="378"/>
        <v>50.823529411764703</v>
      </c>
      <c r="F1520" s="266">
        <f t="shared" si="368"/>
        <v>5</v>
      </c>
      <c r="G1520" s="266">
        <f t="shared" si="369"/>
        <v>2</v>
      </c>
      <c r="H1520" s="266">
        <f t="shared" si="370"/>
        <v>2</v>
      </c>
      <c r="I1520" s="312">
        <f t="shared" si="371"/>
        <v>1.3029999999999999</v>
      </c>
      <c r="J1520" s="312">
        <f t="shared" si="372"/>
        <v>1.5710000000000002</v>
      </c>
      <c r="K1520" s="312">
        <f t="shared" si="373"/>
        <v>2.028</v>
      </c>
      <c r="L1520" s="204">
        <f t="shared" si="374"/>
        <v>22.698260000000001</v>
      </c>
      <c r="M1520" s="204">
        <f t="shared" si="375"/>
        <v>27.366820000000004</v>
      </c>
      <c r="N1520" s="204">
        <f t="shared" si="376"/>
        <v>35.327760000000005</v>
      </c>
    </row>
    <row r="1521" spans="1:14" x14ac:dyDescent="0.25">
      <c r="A1521" s="271">
        <v>24</v>
      </c>
      <c r="B1521" s="272">
        <f>B46*'CO '!$G$1486</f>
        <v>50.823529411764703</v>
      </c>
      <c r="C1521" s="273">
        <f t="shared" si="367"/>
        <v>50.823529411764703</v>
      </c>
      <c r="D1521" s="273">
        <f t="shared" si="377"/>
        <v>50.823529411764703</v>
      </c>
      <c r="E1521" s="273">
        <f t="shared" si="378"/>
        <v>50.823529411764703</v>
      </c>
      <c r="F1521" s="266">
        <f t="shared" si="368"/>
        <v>5</v>
      </c>
      <c r="G1521" s="266">
        <f t="shared" si="369"/>
        <v>2</v>
      </c>
      <c r="H1521" s="266">
        <f t="shared" si="370"/>
        <v>2</v>
      </c>
      <c r="I1521" s="312">
        <f t="shared" si="371"/>
        <v>1.3029999999999999</v>
      </c>
      <c r="J1521" s="312">
        <f t="shared" si="372"/>
        <v>1.5710000000000002</v>
      </c>
      <c r="K1521" s="312">
        <f t="shared" si="373"/>
        <v>2.028</v>
      </c>
      <c r="L1521" s="204">
        <f t="shared" si="374"/>
        <v>22.698260000000001</v>
      </c>
      <c r="M1521" s="204">
        <f t="shared" si="375"/>
        <v>27.366820000000004</v>
      </c>
      <c r="N1521" s="204">
        <f t="shared" si="376"/>
        <v>35.327760000000005</v>
      </c>
    </row>
    <row r="1522" spans="1:14" x14ac:dyDescent="0.25">
      <c r="A1522" s="271">
        <v>25</v>
      </c>
      <c r="B1522" s="272">
        <f>B47*'CO '!$G$1486</f>
        <v>50.823529411764703</v>
      </c>
      <c r="C1522" s="273">
        <f t="shared" si="367"/>
        <v>50.823529411764703</v>
      </c>
      <c r="D1522" s="273">
        <f t="shared" si="377"/>
        <v>50.823529411764703</v>
      </c>
      <c r="E1522" s="273">
        <f t="shared" si="378"/>
        <v>50.823529411764703</v>
      </c>
      <c r="F1522" s="266">
        <f t="shared" si="368"/>
        <v>5</v>
      </c>
      <c r="G1522" s="266">
        <f t="shared" si="369"/>
        <v>2</v>
      </c>
      <c r="H1522" s="266">
        <f t="shared" si="370"/>
        <v>2</v>
      </c>
      <c r="I1522" s="312">
        <f t="shared" si="371"/>
        <v>1.3029999999999999</v>
      </c>
      <c r="J1522" s="312">
        <f t="shared" si="372"/>
        <v>1.5710000000000002</v>
      </c>
      <c r="K1522" s="312">
        <f t="shared" si="373"/>
        <v>2.028</v>
      </c>
      <c r="L1522" s="204">
        <f t="shared" si="374"/>
        <v>22.698260000000001</v>
      </c>
      <c r="M1522" s="204">
        <f t="shared" si="375"/>
        <v>27.366820000000004</v>
      </c>
      <c r="N1522" s="204">
        <f t="shared" si="376"/>
        <v>35.327760000000005</v>
      </c>
    </row>
    <row r="1523" spans="1:14" x14ac:dyDescent="0.25">
      <c r="A1523" s="271">
        <v>26</v>
      </c>
      <c r="B1523" s="272">
        <f>B48*'CO '!$G$1486</f>
        <v>50.823529411764703</v>
      </c>
      <c r="C1523" s="273">
        <f t="shared" si="367"/>
        <v>50.823529411764703</v>
      </c>
      <c r="D1523" s="273">
        <f t="shared" si="377"/>
        <v>50.823529411764703</v>
      </c>
      <c r="E1523" s="273">
        <f t="shared" si="378"/>
        <v>50.823529411764703</v>
      </c>
      <c r="F1523" s="266">
        <f t="shared" si="368"/>
        <v>5</v>
      </c>
      <c r="G1523" s="266">
        <f t="shared" si="369"/>
        <v>2</v>
      </c>
      <c r="H1523" s="266">
        <f t="shared" si="370"/>
        <v>2</v>
      </c>
      <c r="I1523" s="312">
        <f t="shared" si="371"/>
        <v>1.3029999999999999</v>
      </c>
      <c r="J1523" s="312">
        <f t="shared" si="372"/>
        <v>1.5710000000000002</v>
      </c>
      <c r="K1523" s="312">
        <f t="shared" si="373"/>
        <v>2.028</v>
      </c>
      <c r="L1523" s="204">
        <f t="shared" si="374"/>
        <v>22.698260000000001</v>
      </c>
      <c r="M1523" s="204">
        <f t="shared" si="375"/>
        <v>27.366820000000004</v>
      </c>
      <c r="N1523" s="204">
        <f t="shared" si="376"/>
        <v>35.327760000000005</v>
      </c>
    </row>
    <row r="1524" spans="1:14" x14ac:dyDescent="0.25">
      <c r="A1524" s="271">
        <v>27</v>
      </c>
      <c r="B1524" s="272">
        <f>B49*'CO '!$G$1486</f>
        <v>50.823529411764703</v>
      </c>
      <c r="C1524" s="273">
        <f t="shared" si="367"/>
        <v>50.823529411764703</v>
      </c>
      <c r="D1524" s="273">
        <f t="shared" si="377"/>
        <v>50.823529411764703</v>
      </c>
      <c r="E1524" s="273">
        <f t="shared" si="378"/>
        <v>50.823529411764703</v>
      </c>
      <c r="F1524" s="266">
        <f t="shared" si="368"/>
        <v>5</v>
      </c>
      <c r="G1524" s="266">
        <f t="shared" si="369"/>
        <v>2</v>
      </c>
      <c r="H1524" s="266">
        <f t="shared" si="370"/>
        <v>2</v>
      </c>
      <c r="I1524" s="312">
        <f t="shared" si="371"/>
        <v>1.3029999999999999</v>
      </c>
      <c r="J1524" s="312">
        <f t="shared" si="372"/>
        <v>1.5710000000000002</v>
      </c>
      <c r="K1524" s="312">
        <f t="shared" si="373"/>
        <v>2.028</v>
      </c>
      <c r="L1524" s="204">
        <f t="shared" si="374"/>
        <v>22.698260000000001</v>
      </c>
      <c r="M1524" s="204">
        <f t="shared" si="375"/>
        <v>27.366820000000004</v>
      </c>
      <c r="N1524" s="204">
        <f t="shared" si="376"/>
        <v>35.327760000000005</v>
      </c>
    </row>
    <row r="1525" spans="1:14" x14ac:dyDescent="0.25">
      <c r="A1525" s="271">
        <v>28</v>
      </c>
      <c r="B1525" s="272">
        <f>B50*'CO '!$G$1486</f>
        <v>50.823529411764703</v>
      </c>
      <c r="C1525" s="273">
        <f t="shared" si="367"/>
        <v>50.823529411764703</v>
      </c>
      <c r="D1525" s="273">
        <f t="shared" si="377"/>
        <v>50.823529411764703</v>
      </c>
      <c r="E1525" s="273">
        <f t="shared" si="378"/>
        <v>50.823529411764703</v>
      </c>
      <c r="F1525" s="266">
        <f t="shared" si="368"/>
        <v>5</v>
      </c>
      <c r="G1525" s="266">
        <f t="shared" si="369"/>
        <v>2</v>
      </c>
      <c r="H1525" s="266">
        <f t="shared" si="370"/>
        <v>2</v>
      </c>
      <c r="I1525" s="312">
        <f t="shared" si="371"/>
        <v>1.3029999999999999</v>
      </c>
      <c r="J1525" s="312">
        <f t="shared" si="372"/>
        <v>1.5710000000000002</v>
      </c>
      <c r="K1525" s="312">
        <f t="shared" si="373"/>
        <v>2.028</v>
      </c>
      <c r="L1525" s="204">
        <f t="shared" si="374"/>
        <v>22.698260000000001</v>
      </c>
      <c r="M1525" s="204">
        <f t="shared" si="375"/>
        <v>27.366820000000004</v>
      </c>
      <c r="N1525" s="204">
        <f t="shared" si="376"/>
        <v>35.327760000000005</v>
      </c>
    </row>
    <row r="1526" spans="1:14" x14ac:dyDescent="0.25">
      <c r="A1526" s="271">
        <v>29</v>
      </c>
      <c r="B1526" s="272">
        <f>B51*'CO '!$G$1486</f>
        <v>50.823529411764703</v>
      </c>
      <c r="C1526" s="273">
        <f t="shared" si="367"/>
        <v>50.823529411764703</v>
      </c>
      <c r="D1526" s="273">
        <f t="shared" si="377"/>
        <v>50.823529411764703</v>
      </c>
      <c r="E1526" s="273">
        <f t="shared" si="378"/>
        <v>50.823529411764703</v>
      </c>
      <c r="F1526" s="266">
        <f t="shared" si="368"/>
        <v>5</v>
      </c>
      <c r="G1526" s="266">
        <f t="shared" si="369"/>
        <v>2</v>
      </c>
      <c r="H1526" s="266">
        <f t="shared" si="370"/>
        <v>2</v>
      </c>
      <c r="I1526" s="312">
        <f t="shared" si="371"/>
        <v>1.3029999999999999</v>
      </c>
      <c r="J1526" s="312">
        <f t="shared" si="372"/>
        <v>1.5710000000000002</v>
      </c>
      <c r="K1526" s="312">
        <f t="shared" si="373"/>
        <v>2.028</v>
      </c>
      <c r="L1526" s="204">
        <f t="shared" si="374"/>
        <v>22.698260000000001</v>
      </c>
      <c r="M1526" s="204">
        <f t="shared" si="375"/>
        <v>27.366820000000004</v>
      </c>
      <c r="N1526" s="204">
        <f t="shared" si="376"/>
        <v>35.327760000000005</v>
      </c>
    </row>
    <row r="1527" spans="1:14" x14ac:dyDescent="0.25">
      <c r="A1527" s="271">
        <v>30</v>
      </c>
      <c r="B1527" s="272">
        <f>B52*'CO '!$G$1486</f>
        <v>50.823529411764703</v>
      </c>
      <c r="C1527" s="273">
        <f t="shared" si="367"/>
        <v>50.823529411764703</v>
      </c>
      <c r="D1527" s="273">
        <f t="shared" si="377"/>
        <v>50.823529411764703</v>
      </c>
      <c r="E1527" s="273">
        <f t="shared" si="378"/>
        <v>50.823529411764703</v>
      </c>
      <c r="F1527" s="266">
        <f t="shared" si="368"/>
        <v>5</v>
      </c>
      <c r="G1527" s="266">
        <f t="shared" si="369"/>
        <v>2</v>
      </c>
      <c r="H1527" s="266">
        <f t="shared" si="370"/>
        <v>2</v>
      </c>
      <c r="I1527" s="312">
        <f t="shared" si="371"/>
        <v>1.3029999999999999</v>
      </c>
      <c r="J1527" s="312">
        <f t="shared" si="372"/>
        <v>1.5710000000000002</v>
      </c>
      <c r="K1527" s="312">
        <f t="shared" si="373"/>
        <v>2.028</v>
      </c>
      <c r="L1527" s="204">
        <f t="shared" si="374"/>
        <v>22.698260000000001</v>
      </c>
      <c r="M1527" s="204">
        <f t="shared" si="375"/>
        <v>27.366820000000004</v>
      </c>
      <c r="N1527" s="204">
        <f t="shared" si="376"/>
        <v>35.327760000000005</v>
      </c>
    </row>
    <row r="1528" spans="1:14" x14ac:dyDescent="0.25">
      <c r="A1528" s="271">
        <v>31</v>
      </c>
      <c r="B1528" s="272">
        <f>B53*'CO '!$G$1486</f>
        <v>50.823529411764703</v>
      </c>
      <c r="C1528" s="273">
        <f t="shared" si="367"/>
        <v>50.823529411764703</v>
      </c>
      <c r="D1528" s="273">
        <f>C1528</f>
        <v>50.823529411764703</v>
      </c>
      <c r="E1528" s="273">
        <f>D1528</f>
        <v>50.823529411764703</v>
      </c>
      <c r="F1528" s="266">
        <f>IF(C1528&gt;$B$1479,2,IF(C1528&gt;$B$1480,3,IF(C1528&gt;$B$1481,4,IF(C1528&gt;$B$1482,5,IF(C1528&gt;$B$1483,6,IF(C1528&gt;$B$1484,7,IF(C1528&gt;$B$1485,8,IF(C1528&gt;$B$1486,9,IF(C1528&gt;$B$1487,10,IF(C1528&gt;$B$1488,11,IF(C1528&gt;$B$1489,12,12)))))))))))</f>
        <v>5</v>
      </c>
      <c r="G1528" s="266">
        <f>IF(D1528&gt;$C$1479,2,IF(D1528&gt;$C$1480,3,IF(D1528&gt;$C$1481,4,IF(D1528&gt;$C$1482,5,IF(D1528&gt;$C$1483,6,IF(D1528&gt;$C$1484,7,IF(D1528&gt;$C$1485,8,IF(D1528&gt;$C$1486,9,IF(D1528&gt;$C$1487,10,IF(D1528&gt;$C$1488,11,IF(D1528&gt;$C$1489,12,12)))))))))))</f>
        <v>2</v>
      </c>
      <c r="H1528" s="266">
        <f>IF(E1528&gt;$D$1479,2,IF(E1528&gt;$D$1480,3,IF(E1528&gt;$D$1481,4,IF(E1528&gt;$D$1482,5,IF(E1528&gt;$D$1483,6,IF(E1528&gt;$D$1484,7,IF(E1528&gt;$D$1485,8,IF(E1528&gt;$D$1486,9,IF(E1528&gt;$D$1487,10,IF(E1528&gt;$D$1488,11,IF(E1528&gt;$D$1489,12,12)))))))))))</f>
        <v>2</v>
      </c>
      <c r="I1528" s="312">
        <f>0.00009*(F1528)^3-0.00125*(F1528)^2+0.05*(F1528)+1.073</f>
        <v>1.3029999999999999</v>
      </c>
      <c r="J1528" s="312">
        <f>-0.00005*(G1528)^3+0.0011*(G1528)^2+0.042*(G1528)+1.483</f>
        <v>1.5710000000000002</v>
      </c>
      <c r="K1528" s="312">
        <f>0*(H1528)^3+0*(H1528)^2+0.049*(H1528)+1.93</f>
        <v>2.028</v>
      </c>
      <c r="L1528" s="204">
        <f t="shared" ref="L1528:N1529" si="379">I1528*$B$1494</f>
        <v>22.698260000000001</v>
      </c>
      <c r="M1528" s="204">
        <f t="shared" si="379"/>
        <v>27.366820000000004</v>
      </c>
      <c r="N1528" s="204">
        <f t="shared" si="379"/>
        <v>35.327760000000005</v>
      </c>
    </row>
    <row r="1529" spans="1:14" x14ac:dyDescent="0.25">
      <c r="A1529" s="271">
        <v>32</v>
      </c>
      <c r="B1529" s="272">
        <f>B54*'CO '!$G$1486</f>
        <v>50.823529411764703</v>
      </c>
      <c r="C1529" s="273">
        <f t="shared" si="367"/>
        <v>50.823529411764703</v>
      </c>
      <c r="D1529" s="273">
        <f>C1529</f>
        <v>50.823529411764703</v>
      </c>
      <c r="E1529" s="273">
        <f>D1529</f>
        <v>50.823529411764703</v>
      </c>
      <c r="F1529" s="266">
        <f>IF(C1529&gt;$B$1479,2,IF(C1529&gt;$B$1480,3,IF(C1529&gt;$B$1481,4,IF(C1529&gt;$B$1482,5,IF(C1529&gt;$B$1483,6,IF(C1529&gt;$B$1484,7,IF(C1529&gt;$B$1485,8,IF(C1529&gt;$B$1486,9,IF(C1529&gt;$B$1487,10,IF(C1529&gt;$B$1488,11,IF(C1529&gt;$B$1489,12,12)))))))))))</f>
        <v>5</v>
      </c>
      <c r="G1529" s="266">
        <f>IF(D1529&gt;$C$1479,2,IF(D1529&gt;$C$1480,3,IF(D1529&gt;$C$1481,4,IF(D1529&gt;$C$1482,5,IF(D1529&gt;$C$1483,6,IF(D1529&gt;$C$1484,7,IF(D1529&gt;$C$1485,8,IF(D1529&gt;$C$1486,9,IF(D1529&gt;$C$1487,10,IF(D1529&gt;$C$1488,11,IF(D1529&gt;$C$1489,12,12)))))))))))</f>
        <v>2</v>
      </c>
      <c r="H1529" s="266">
        <f>IF(E1529&gt;$D$1479,2,IF(E1529&gt;$D$1480,3,IF(E1529&gt;$D$1481,4,IF(E1529&gt;$D$1482,5,IF(E1529&gt;$D$1483,6,IF(E1529&gt;$D$1484,7,IF(E1529&gt;$D$1485,8,IF(E1529&gt;$D$1486,9,IF(E1529&gt;$D$1487,10,IF(E1529&gt;$D$1488,11,IF(E1529&gt;$D$1489,12,12)))))))))))</f>
        <v>2</v>
      </c>
      <c r="I1529" s="312">
        <f>0.00009*(F1529)^3-0.00125*(F1529)^2+0.05*(F1529)+1.073</f>
        <v>1.3029999999999999</v>
      </c>
      <c r="J1529" s="312">
        <f>-0.00005*(G1529)^3+0.0011*(G1529)^2+0.042*(G1529)+1.483</f>
        <v>1.5710000000000002</v>
      </c>
      <c r="K1529" s="312">
        <f>0*(H1529)^3+0*(H1529)^2+0.049*(H1529)+1.93</f>
        <v>2.028</v>
      </c>
      <c r="L1529" s="204">
        <f t="shared" si="379"/>
        <v>22.698260000000001</v>
      </c>
      <c r="M1529" s="204">
        <f t="shared" si="379"/>
        <v>27.366820000000004</v>
      </c>
      <c r="N1529" s="204">
        <f t="shared" si="379"/>
        <v>35.327760000000005</v>
      </c>
    </row>
    <row r="1530" spans="1:14" x14ac:dyDescent="0.25">
      <c r="A1530" s="239" t="s">
        <v>13</v>
      </c>
      <c r="B1530" s="239"/>
    </row>
    <row r="1531" spans="1:14" x14ac:dyDescent="0.25">
      <c r="A1531" t="s">
        <v>296</v>
      </c>
      <c r="C1531" t="s">
        <v>238</v>
      </c>
    </row>
    <row r="1532" spans="1:14" x14ac:dyDescent="0.25">
      <c r="A1532" s="43" t="s">
        <v>228</v>
      </c>
      <c r="B1532" s="43">
        <f>B1494</f>
        <v>17.420000000000002</v>
      </c>
    </row>
    <row r="1533" spans="1:14" x14ac:dyDescent="0.25">
      <c r="A1533" s="43" t="s">
        <v>99</v>
      </c>
      <c r="B1533" s="169" t="str">
        <f>$B$57</f>
        <v>P</v>
      </c>
      <c r="C1533" s="575" t="s">
        <v>229</v>
      </c>
      <c r="D1533" s="575"/>
      <c r="E1533" s="575"/>
      <c r="F1533" s="575" t="s">
        <v>230</v>
      </c>
      <c r="G1533" s="576"/>
      <c r="H1533" s="576"/>
      <c r="I1533" s="575" t="s">
        <v>231</v>
      </c>
      <c r="J1533" s="575"/>
      <c r="K1533" s="575"/>
      <c r="L1533" s="575" t="s">
        <v>240</v>
      </c>
      <c r="M1533" s="575"/>
      <c r="N1533" s="575"/>
    </row>
    <row r="1534" spans="1:14" x14ac:dyDescent="0.25">
      <c r="A1534" s="35" t="s">
        <v>18</v>
      </c>
      <c r="B1534" s="95" t="s">
        <v>20</v>
      </c>
      <c r="C1534" s="270" t="s">
        <v>233</v>
      </c>
      <c r="D1534" s="270" t="s">
        <v>234</v>
      </c>
      <c r="E1534" s="270" t="s">
        <v>235</v>
      </c>
      <c r="F1534" s="270" t="s">
        <v>233</v>
      </c>
      <c r="G1534" s="270" t="s">
        <v>234</v>
      </c>
      <c r="H1534" s="270" t="s">
        <v>235</v>
      </c>
      <c r="I1534" s="270" t="s">
        <v>233</v>
      </c>
      <c r="J1534" s="270" t="s">
        <v>234</v>
      </c>
      <c r="K1534" s="270" t="s">
        <v>235</v>
      </c>
      <c r="L1534" s="270" t="s">
        <v>233</v>
      </c>
      <c r="M1534" s="270" t="s">
        <v>234</v>
      </c>
      <c r="N1534" s="270" t="s">
        <v>235</v>
      </c>
    </row>
    <row r="1535" spans="1:14" x14ac:dyDescent="0.25">
      <c r="A1535" s="271">
        <v>0</v>
      </c>
      <c r="B1535" s="272">
        <f>B59*'CO '!$G$1486</f>
        <v>66.27877849704474</v>
      </c>
      <c r="C1535" s="273">
        <f>B1535</f>
        <v>66.27877849704474</v>
      </c>
      <c r="D1535" s="273">
        <f>C1535</f>
        <v>66.27877849704474</v>
      </c>
      <c r="E1535" s="273">
        <f>D1535</f>
        <v>66.27877849704474</v>
      </c>
      <c r="F1535" s="266">
        <f>IF(C1535&gt;$B$1479,2,IF(C1535&gt;$B$1480,3,IF(C1535&gt;$B$1481,4,IF(C1535&gt;$B$1482,5,IF(C1535&gt;$B$1483,6,IF(C1535&gt;$B$1484,7,IF(C1535&gt;$B$1485,8,IF(C1535&gt;$B$1486,9,IF(C1535&gt;$B$1487,10,IF(C1535&gt;$B$1488,11,IF(C1535&gt;$B$1489,12,12)))))))))))</f>
        <v>2</v>
      </c>
      <c r="G1535" s="266">
        <f>IF(D1535&gt;$C$1479,2,IF(D1535&gt;$C$1480,3,IF(D1535&gt;$C$1481,4,IF(D1535&gt;$C$1482,5,IF(D1535&gt;$C$1483,6,IF(D1535&gt;$C$1484,7,IF(D1535&gt;$C$1485,8,IF(D1535&gt;$C$1486,9,IF(D1535&gt;$C$1487,10,IF(D1535&gt;$C$1488,11,IF(D1535&gt;$C$1489,12,12)))))))))))</f>
        <v>2</v>
      </c>
      <c r="H1535" s="266">
        <f>IF(E1535&gt;$D$1479,2,IF(E1535&gt;$D$1480,3,IF(E1535&gt;$D$1481,4,IF(E1535&gt;$D$1482,5,IF(E1535&gt;$D$1483,6,IF(E1535&gt;$D$1484,7,IF(E1535&gt;$D$1485,8,IF(E1535&gt;$D$1486,9,IF(E1535&gt;$D$1487,10,IF(E1535&gt;$D$1488,11,IF(E1535&gt;$D$1489,12,12)))))))))))</f>
        <v>2</v>
      </c>
      <c r="I1535" s="312">
        <f>0.00009*(F1535)^3-0.00125*(F1535)^2+0.05*(F1535)+1.073</f>
        <v>1.16872</v>
      </c>
      <c r="J1535" s="312">
        <f>-0.00005*(G1535)^3+0.0011*(G1535)^2+0.042*(G1535)+1.483</f>
        <v>1.5710000000000002</v>
      </c>
      <c r="K1535" s="312">
        <f>0*(H1535)^3+0*(H1535)^2+0.049*(H1535)+1.93</f>
        <v>2.028</v>
      </c>
      <c r="L1535" s="204">
        <f>I1535*$B$1494</f>
        <v>20.359102400000001</v>
      </c>
      <c r="M1535" s="204">
        <f>J1535*$B$1494</f>
        <v>27.366820000000004</v>
      </c>
      <c r="N1535" s="204">
        <f>K1535*$B$1494</f>
        <v>35.327760000000005</v>
      </c>
    </row>
    <row r="1536" spans="1:14" x14ac:dyDescent="0.25">
      <c r="A1536" s="271">
        <v>1</v>
      </c>
      <c r="B1536" s="272">
        <f>B60*'CO '!$G$1486</f>
        <v>66.075377146073734</v>
      </c>
      <c r="C1536" s="273">
        <f t="shared" ref="C1536:C1567" si="380">B1536</f>
        <v>66.075377146073734</v>
      </c>
      <c r="D1536" s="311">
        <f>C1536</f>
        <v>66.075377146073734</v>
      </c>
      <c r="E1536" s="311">
        <f>D1536</f>
        <v>66.075377146073734</v>
      </c>
      <c r="F1536" s="266">
        <f t="shared" ref="F1536:F1565" si="381">IF(C1536&gt;$B$1479,2,IF(C1536&gt;$B$1480,3,IF(C1536&gt;$B$1481,4,IF(C1536&gt;$B$1482,5,IF(C1536&gt;$B$1483,6,IF(C1536&gt;$B$1484,7,IF(C1536&gt;$B$1485,8,IF(C1536&gt;$B$1486,9,IF(C1536&gt;$B$1487,10,IF(C1536&gt;$B$1488,11,IF(C1536&gt;$B$1489,12,12)))))))))))</f>
        <v>2</v>
      </c>
      <c r="G1536" s="266">
        <f t="shared" ref="G1536:G1565" si="382">IF(D1536&gt;$C$1479,2,IF(D1536&gt;$C$1480,3,IF(D1536&gt;$C$1481,4,IF(D1536&gt;$C$1482,5,IF(D1536&gt;$C$1483,6,IF(D1536&gt;$C$1484,7,IF(D1536&gt;$C$1485,8,IF(D1536&gt;$C$1486,9,IF(D1536&gt;$C$1487,10,IF(D1536&gt;$C$1488,11,IF(D1536&gt;$C$1489,12,12)))))))))))</f>
        <v>2</v>
      </c>
      <c r="H1536" s="266">
        <f t="shared" ref="H1536:H1565" si="383">IF(E1536&gt;$D$1479,2,IF(E1536&gt;$D$1480,3,IF(E1536&gt;$D$1481,4,IF(E1536&gt;$D$1482,5,IF(E1536&gt;$D$1483,6,IF(E1536&gt;$D$1484,7,IF(E1536&gt;$D$1485,8,IF(E1536&gt;$D$1486,9,IF(E1536&gt;$D$1487,10,IF(E1536&gt;$D$1488,11,IF(E1536&gt;$D$1489,12,12)))))))))))</f>
        <v>2</v>
      </c>
      <c r="I1536" s="312">
        <f t="shared" ref="I1536:I1565" si="384">0.00009*(F1536)^3-0.00125*(F1536)^2+0.05*(F1536)+1.073</f>
        <v>1.16872</v>
      </c>
      <c r="J1536" s="312">
        <f t="shared" ref="J1536:J1565" si="385">-0.00005*(G1536)^3+0.0011*(G1536)^2+0.042*(G1536)+1.483</f>
        <v>1.5710000000000002</v>
      </c>
      <c r="K1536" s="312">
        <f t="shared" ref="K1536:K1565" si="386">0*(H1536)^3+0*(H1536)^2+0.049*(H1536)+1.93</f>
        <v>2.028</v>
      </c>
      <c r="L1536" s="204">
        <f t="shared" ref="L1536:L1565" si="387">I1536*$B$1494</f>
        <v>20.359102400000001</v>
      </c>
      <c r="M1536" s="204">
        <f t="shared" ref="M1536:M1565" si="388">J1536*$B$1494</f>
        <v>27.366820000000004</v>
      </c>
      <c r="N1536" s="204">
        <f t="shared" ref="N1536:N1565" si="389">K1536*$B$1494</f>
        <v>35.327760000000005</v>
      </c>
    </row>
    <row r="1537" spans="1:14" x14ac:dyDescent="0.25">
      <c r="A1537" s="271">
        <v>2</v>
      </c>
      <c r="B1537" s="272">
        <f>B61*'CO '!$G$1486</f>
        <v>65.865873754573599</v>
      </c>
      <c r="C1537" s="273">
        <f t="shared" si="380"/>
        <v>65.865873754573599</v>
      </c>
      <c r="D1537" s="273">
        <f>C1537</f>
        <v>65.865873754573599</v>
      </c>
      <c r="E1537" s="273">
        <f>D1537</f>
        <v>65.865873754573599</v>
      </c>
      <c r="F1537" s="266">
        <f t="shared" si="381"/>
        <v>2</v>
      </c>
      <c r="G1537" s="266">
        <f t="shared" si="382"/>
        <v>2</v>
      </c>
      <c r="H1537" s="266">
        <f t="shared" si="383"/>
        <v>2</v>
      </c>
      <c r="I1537" s="312">
        <f t="shared" si="384"/>
        <v>1.16872</v>
      </c>
      <c r="J1537" s="312">
        <f t="shared" si="385"/>
        <v>1.5710000000000002</v>
      </c>
      <c r="K1537" s="312">
        <f t="shared" si="386"/>
        <v>2.028</v>
      </c>
      <c r="L1537" s="204">
        <f t="shared" si="387"/>
        <v>20.359102400000001</v>
      </c>
      <c r="M1537" s="204">
        <f t="shared" si="388"/>
        <v>27.366820000000004</v>
      </c>
      <c r="N1537" s="204">
        <f t="shared" si="389"/>
        <v>35.327760000000005</v>
      </c>
    </row>
    <row r="1538" spans="1:14" x14ac:dyDescent="0.25">
      <c r="A1538" s="271">
        <v>3</v>
      </c>
      <c r="B1538" s="272">
        <f>B62*'CO '!$G$1486</f>
        <v>65.731499967571125</v>
      </c>
      <c r="C1538" s="273">
        <f t="shared" si="380"/>
        <v>65.731499967571125</v>
      </c>
      <c r="D1538" s="273">
        <f t="shared" ref="D1538:D1565" si="390">C1538</f>
        <v>65.731499967571125</v>
      </c>
      <c r="E1538" s="273">
        <f t="shared" ref="E1538:E1565" si="391">D1538</f>
        <v>65.731499967571125</v>
      </c>
      <c r="F1538" s="266">
        <f t="shared" si="381"/>
        <v>2</v>
      </c>
      <c r="G1538" s="266">
        <f t="shared" si="382"/>
        <v>2</v>
      </c>
      <c r="H1538" s="266">
        <f t="shared" si="383"/>
        <v>2</v>
      </c>
      <c r="I1538" s="312">
        <f t="shared" si="384"/>
        <v>1.16872</v>
      </c>
      <c r="J1538" s="312">
        <f t="shared" si="385"/>
        <v>1.5710000000000002</v>
      </c>
      <c r="K1538" s="312">
        <f t="shared" si="386"/>
        <v>2.028</v>
      </c>
      <c r="L1538" s="204">
        <f t="shared" si="387"/>
        <v>20.359102400000001</v>
      </c>
      <c r="M1538" s="204">
        <f t="shared" si="388"/>
        <v>27.366820000000004</v>
      </c>
      <c r="N1538" s="204">
        <f t="shared" si="389"/>
        <v>35.327760000000005</v>
      </c>
    </row>
    <row r="1539" spans="1:14" x14ac:dyDescent="0.25">
      <c r="A1539" s="271">
        <v>4</v>
      </c>
      <c r="B1539" s="272">
        <f>B63*'CO '!$G$1486</f>
        <v>65.511680260715892</v>
      </c>
      <c r="C1539" s="273">
        <f t="shared" si="380"/>
        <v>65.511680260715892</v>
      </c>
      <c r="D1539" s="273">
        <f t="shared" si="390"/>
        <v>65.511680260715892</v>
      </c>
      <c r="E1539" s="273">
        <f t="shared" si="391"/>
        <v>65.511680260715892</v>
      </c>
      <c r="F1539" s="266">
        <f t="shared" si="381"/>
        <v>2</v>
      </c>
      <c r="G1539" s="266">
        <f t="shared" si="382"/>
        <v>2</v>
      </c>
      <c r="H1539" s="266">
        <f t="shared" si="383"/>
        <v>2</v>
      </c>
      <c r="I1539" s="312">
        <f t="shared" si="384"/>
        <v>1.16872</v>
      </c>
      <c r="J1539" s="312">
        <f t="shared" si="385"/>
        <v>1.5710000000000002</v>
      </c>
      <c r="K1539" s="312">
        <f t="shared" si="386"/>
        <v>2.028</v>
      </c>
      <c r="L1539" s="204">
        <f t="shared" si="387"/>
        <v>20.359102400000001</v>
      </c>
      <c r="M1539" s="204">
        <f t="shared" si="388"/>
        <v>27.366820000000004</v>
      </c>
      <c r="N1539" s="204">
        <f t="shared" si="389"/>
        <v>35.327760000000005</v>
      </c>
    </row>
    <row r="1540" spans="1:14" x14ac:dyDescent="0.25">
      <c r="A1540" s="271">
        <v>5</v>
      </c>
      <c r="B1540" s="272">
        <f>B64*'CO '!$G$1486</f>
        <v>65.285265962655032</v>
      </c>
      <c r="C1540" s="273">
        <f t="shared" si="380"/>
        <v>65.285265962655032</v>
      </c>
      <c r="D1540" s="273">
        <f t="shared" si="390"/>
        <v>65.285265962655032</v>
      </c>
      <c r="E1540" s="273">
        <f t="shared" si="391"/>
        <v>65.285265962655032</v>
      </c>
      <c r="F1540" s="266">
        <f t="shared" si="381"/>
        <v>2</v>
      </c>
      <c r="G1540" s="266">
        <f t="shared" si="382"/>
        <v>2</v>
      </c>
      <c r="H1540" s="266">
        <f t="shared" si="383"/>
        <v>2</v>
      </c>
      <c r="I1540" s="312">
        <f t="shared" si="384"/>
        <v>1.16872</v>
      </c>
      <c r="J1540" s="312">
        <f t="shared" si="385"/>
        <v>1.5710000000000002</v>
      </c>
      <c r="K1540" s="312">
        <f t="shared" si="386"/>
        <v>2.028</v>
      </c>
      <c r="L1540" s="204">
        <f t="shared" si="387"/>
        <v>20.359102400000001</v>
      </c>
      <c r="M1540" s="204">
        <f t="shared" si="388"/>
        <v>27.366820000000004</v>
      </c>
      <c r="N1540" s="204">
        <f t="shared" si="389"/>
        <v>35.327760000000005</v>
      </c>
    </row>
    <row r="1541" spans="1:14" x14ac:dyDescent="0.25">
      <c r="A1541" s="271">
        <v>6</v>
      </c>
      <c r="B1541" s="272">
        <f>B65*'CO '!$G$1486</f>
        <v>65.052059235652322</v>
      </c>
      <c r="C1541" s="273">
        <f t="shared" si="380"/>
        <v>65.052059235652322</v>
      </c>
      <c r="D1541" s="273">
        <f t="shared" si="390"/>
        <v>65.052059235652322</v>
      </c>
      <c r="E1541" s="273">
        <f t="shared" si="391"/>
        <v>65.052059235652322</v>
      </c>
      <c r="F1541" s="266">
        <f t="shared" si="381"/>
        <v>2</v>
      </c>
      <c r="G1541" s="266">
        <f t="shared" si="382"/>
        <v>2</v>
      </c>
      <c r="H1541" s="266">
        <f t="shared" si="383"/>
        <v>2</v>
      </c>
      <c r="I1541" s="312">
        <f t="shared" si="384"/>
        <v>1.16872</v>
      </c>
      <c r="J1541" s="312">
        <f t="shared" si="385"/>
        <v>1.5710000000000002</v>
      </c>
      <c r="K1541" s="312">
        <f t="shared" si="386"/>
        <v>2.028</v>
      </c>
      <c r="L1541" s="204">
        <f t="shared" si="387"/>
        <v>20.359102400000001</v>
      </c>
      <c r="M1541" s="204">
        <f t="shared" si="388"/>
        <v>27.366820000000004</v>
      </c>
      <c r="N1541" s="204">
        <f t="shared" si="389"/>
        <v>35.327760000000005</v>
      </c>
    </row>
    <row r="1542" spans="1:14" x14ac:dyDescent="0.25">
      <c r="A1542" s="271">
        <v>7</v>
      </c>
      <c r="B1542" s="272">
        <f>B66*'CO '!$G$1486</f>
        <v>64.811856306839545</v>
      </c>
      <c r="C1542" s="273">
        <f t="shared" si="380"/>
        <v>64.811856306839545</v>
      </c>
      <c r="D1542" s="273">
        <f t="shared" si="390"/>
        <v>64.811856306839545</v>
      </c>
      <c r="E1542" s="273">
        <f t="shared" si="391"/>
        <v>64.811856306839545</v>
      </c>
      <c r="F1542" s="266">
        <f t="shared" si="381"/>
        <v>2</v>
      </c>
      <c r="G1542" s="266">
        <f t="shared" si="382"/>
        <v>2</v>
      </c>
      <c r="H1542" s="266">
        <f t="shared" si="383"/>
        <v>2</v>
      </c>
      <c r="I1542" s="312">
        <f t="shared" si="384"/>
        <v>1.16872</v>
      </c>
      <c r="J1542" s="312">
        <f t="shared" si="385"/>
        <v>1.5710000000000002</v>
      </c>
      <c r="K1542" s="312">
        <f t="shared" si="386"/>
        <v>2.028</v>
      </c>
      <c r="L1542" s="204">
        <f t="shared" si="387"/>
        <v>20.359102400000001</v>
      </c>
      <c r="M1542" s="204">
        <f t="shared" si="388"/>
        <v>27.366820000000004</v>
      </c>
      <c r="N1542" s="204">
        <f t="shared" si="389"/>
        <v>35.327760000000005</v>
      </c>
    </row>
    <row r="1543" spans="1:14" x14ac:dyDescent="0.25">
      <c r="A1543" s="271">
        <v>8</v>
      </c>
      <c r="B1543" s="272">
        <f>B67*'CO '!$G$1486</f>
        <v>64.564447290162377</v>
      </c>
      <c r="C1543" s="273">
        <f t="shared" si="380"/>
        <v>64.564447290162377</v>
      </c>
      <c r="D1543" s="273">
        <f t="shared" si="390"/>
        <v>64.564447290162377</v>
      </c>
      <c r="E1543" s="273">
        <f t="shared" si="391"/>
        <v>64.564447290162377</v>
      </c>
      <c r="F1543" s="266">
        <f t="shared" si="381"/>
        <v>2</v>
      </c>
      <c r="G1543" s="266">
        <f t="shared" si="382"/>
        <v>2</v>
      </c>
      <c r="H1543" s="266">
        <f t="shared" si="383"/>
        <v>2</v>
      </c>
      <c r="I1543" s="312">
        <f t="shared" si="384"/>
        <v>1.16872</v>
      </c>
      <c r="J1543" s="312">
        <f t="shared" si="385"/>
        <v>1.5710000000000002</v>
      </c>
      <c r="K1543" s="312">
        <f t="shared" si="386"/>
        <v>2.028</v>
      </c>
      <c r="L1543" s="204">
        <f t="shared" si="387"/>
        <v>20.359102400000001</v>
      </c>
      <c r="M1543" s="204">
        <f t="shared" si="388"/>
        <v>27.366820000000004</v>
      </c>
      <c r="N1543" s="204">
        <f t="shared" si="389"/>
        <v>35.327760000000005</v>
      </c>
    </row>
    <row r="1544" spans="1:14" x14ac:dyDescent="0.25">
      <c r="A1544" s="271">
        <v>9</v>
      </c>
      <c r="B1544" s="272">
        <f>B68*'CO '!$G$1486</f>
        <v>64.309616002984896</v>
      </c>
      <c r="C1544" s="273">
        <f t="shared" si="380"/>
        <v>64.309616002984896</v>
      </c>
      <c r="D1544" s="273">
        <f t="shared" si="390"/>
        <v>64.309616002984896</v>
      </c>
      <c r="E1544" s="273">
        <f t="shared" si="391"/>
        <v>64.309616002984896</v>
      </c>
      <c r="F1544" s="266">
        <f t="shared" si="381"/>
        <v>2</v>
      </c>
      <c r="G1544" s="266">
        <f t="shared" si="382"/>
        <v>2</v>
      </c>
      <c r="H1544" s="266">
        <f t="shared" si="383"/>
        <v>2</v>
      </c>
      <c r="I1544" s="312">
        <f t="shared" si="384"/>
        <v>1.16872</v>
      </c>
      <c r="J1544" s="312">
        <f t="shared" si="385"/>
        <v>1.5710000000000002</v>
      </c>
      <c r="K1544" s="312">
        <f t="shared" si="386"/>
        <v>2.028</v>
      </c>
      <c r="L1544" s="204">
        <f t="shared" si="387"/>
        <v>20.359102400000001</v>
      </c>
      <c r="M1544" s="204">
        <f t="shared" si="388"/>
        <v>27.366820000000004</v>
      </c>
      <c r="N1544" s="204">
        <f t="shared" si="389"/>
        <v>35.327760000000005</v>
      </c>
    </row>
    <row r="1545" spans="1:14" x14ac:dyDescent="0.25">
      <c r="A1545" s="271">
        <v>10</v>
      </c>
      <c r="B1545" s="272">
        <f>B69*'CO '!$G$1486</f>
        <v>64.047139777192086</v>
      </c>
      <c r="C1545" s="273">
        <f t="shared" si="380"/>
        <v>64.047139777192086</v>
      </c>
      <c r="D1545" s="273">
        <f t="shared" si="390"/>
        <v>64.047139777192086</v>
      </c>
      <c r="E1545" s="273">
        <f t="shared" si="391"/>
        <v>64.047139777192086</v>
      </c>
      <c r="F1545" s="266">
        <f t="shared" si="381"/>
        <v>2</v>
      </c>
      <c r="G1545" s="266">
        <f t="shared" si="382"/>
        <v>2</v>
      </c>
      <c r="H1545" s="266">
        <f t="shared" si="383"/>
        <v>2</v>
      </c>
      <c r="I1545" s="312">
        <f t="shared" si="384"/>
        <v>1.16872</v>
      </c>
      <c r="J1545" s="312">
        <f t="shared" si="385"/>
        <v>1.5710000000000002</v>
      </c>
      <c r="K1545" s="312">
        <f t="shared" si="386"/>
        <v>2.028</v>
      </c>
      <c r="L1545" s="204">
        <f t="shared" si="387"/>
        <v>20.359102400000001</v>
      </c>
      <c r="M1545" s="204">
        <f t="shared" si="388"/>
        <v>27.366820000000004</v>
      </c>
      <c r="N1545" s="204">
        <f t="shared" si="389"/>
        <v>35.327760000000005</v>
      </c>
    </row>
    <row r="1546" spans="1:14" x14ac:dyDescent="0.25">
      <c r="A1546" s="271">
        <v>11</v>
      </c>
      <c r="B1546" s="272">
        <f>B70*'CO '!$G$1486</f>
        <v>63.776789264625499</v>
      </c>
      <c r="C1546" s="273">
        <f t="shared" si="380"/>
        <v>63.776789264625499</v>
      </c>
      <c r="D1546" s="273">
        <f t="shared" si="390"/>
        <v>63.776789264625499</v>
      </c>
      <c r="E1546" s="273">
        <f t="shared" si="391"/>
        <v>63.776789264625499</v>
      </c>
      <c r="F1546" s="266">
        <f t="shared" si="381"/>
        <v>2</v>
      </c>
      <c r="G1546" s="266">
        <f t="shared" si="382"/>
        <v>2</v>
      </c>
      <c r="H1546" s="266">
        <f t="shared" si="383"/>
        <v>2</v>
      </c>
      <c r="I1546" s="312">
        <f t="shared" si="384"/>
        <v>1.16872</v>
      </c>
      <c r="J1546" s="312">
        <f t="shared" si="385"/>
        <v>1.5710000000000002</v>
      </c>
      <c r="K1546" s="312">
        <f t="shared" si="386"/>
        <v>2.028</v>
      </c>
      <c r="L1546" s="204">
        <f t="shared" si="387"/>
        <v>20.359102400000001</v>
      </c>
      <c r="M1546" s="204">
        <f t="shared" si="388"/>
        <v>27.366820000000004</v>
      </c>
      <c r="N1546" s="204">
        <f t="shared" si="389"/>
        <v>35.327760000000005</v>
      </c>
    </row>
    <row r="1547" spans="1:14" x14ac:dyDescent="0.25">
      <c r="A1547" s="271">
        <v>12</v>
      </c>
      <c r="B1547" s="272">
        <f>B71*'CO '!$G$1486</f>
        <v>63.498328236681907</v>
      </c>
      <c r="C1547" s="273">
        <f t="shared" si="380"/>
        <v>63.498328236681907</v>
      </c>
      <c r="D1547" s="273">
        <f t="shared" si="390"/>
        <v>63.498328236681907</v>
      </c>
      <c r="E1547" s="273">
        <f t="shared" si="391"/>
        <v>63.498328236681907</v>
      </c>
      <c r="F1547" s="266">
        <f t="shared" si="381"/>
        <v>2</v>
      </c>
      <c r="G1547" s="266">
        <f t="shared" si="382"/>
        <v>2</v>
      </c>
      <c r="H1547" s="266">
        <f t="shared" si="383"/>
        <v>2</v>
      </c>
      <c r="I1547" s="312">
        <f t="shared" si="384"/>
        <v>1.16872</v>
      </c>
      <c r="J1547" s="312">
        <f t="shared" si="385"/>
        <v>1.5710000000000002</v>
      </c>
      <c r="K1547" s="312">
        <f t="shared" si="386"/>
        <v>2.028</v>
      </c>
      <c r="L1547" s="204">
        <f t="shared" si="387"/>
        <v>20.359102400000001</v>
      </c>
      <c r="M1547" s="204">
        <f t="shared" si="388"/>
        <v>27.366820000000004</v>
      </c>
      <c r="N1547" s="204">
        <f t="shared" si="389"/>
        <v>35.327760000000005</v>
      </c>
    </row>
    <row r="1548" spans="1:14" x14ac:dyDescent="0.25">
      <c r="A1548" s="271">
        <v>13</v>
      </c>
      <c r="B1548" s="272">
        <f>B72*'CO '!$G$1486</f>
        <v>63.211513377900012</v>
      </c>
      <c r="C1548" s="273">
        <f t="shared" si="380"/>
        <v>63.211513377900012</v>
      </c>
      <c r="D1548" s="273">
        <f t="shared" si="390"/>
        <v>63.211513377900012</v>
      </c>
      <c r="E1548" s="273">
        <f t="shared" si="391"/>
        <v>63.211513377900012</v>
      </c>
      <c r="F1548" s="266">
        <f t="shared" si="381"/>
        <v>2</v>
      </c>
      <c r="G1548" s="266">
        <f t="shared" si="382"/>
        <v>2</v>
      </c>
      <c r="H1548" s="266">
        <f t="shared" si="383"/>
        <v>2</v>
      </c>
      <c r="I1548" s="312">
        <f t="shared" si="384"/>
        <v>1.16872</v>
      </c>
      <c r="J1548" s="312">
        <f t="shared" si="385"/>
        <v>1.5710000000000002</v>
      </c>
      <c r="K1548" s="312">
        <f t="shared" si="386"/>
        <v>2.028</v>
      </c>
      <c r="L1548" s="204">
        <f t="shared" si="387"/>
        <v>20.359102400000001</v>
      </c>
      <c r="M1548" s="204">
        <f t="shared" si="388"/>
        <v>27.366820000000004</v>
      </c>
      <c r="N1548" s="204">
        <f t="shared" si="389"/>
        <v>35.327760000000005</v>
      </c>
    </row>
    <row r="1549" spans="1:14" x14ac:dyDescent="0.25">
      <c r="A1549" s="271">
        <v>14</v>
      </c>
      <c r="B1549" s="272">
        <f>B73*'CO '!$G$1486</f>
        <v>62.916094073354664</v>
      </c>
      <c r="C1549" s="273">
        <f t="shared" si="380"/>
        <v>62.916094073354664</v>
      </c>
      <c r="D1549" s="273">
        <f t="shared" si="390"/>
        <v>62.916094073354664</v>
      </c>
      <c r="E1549" s="273">
        <f t="shared" si="391"/>
        <v>62.916094073354664</v>
      </c>
      <c r="F1549" s="266">
        <f t="shared" si="381"/>
        <v>2</v>
      </c>
      <c r="G1549" s="266">
        <f t="shared" si="382"/>
        <v>2</v>
      </c>
      <c r="H1549" s="266">
        <f t="shared" si="383"/>
        <v>2</v>
      </c>
      <c r="I1549" s="312">
        <f t="shared" si="384"/>
        <v>1.16872</v>
      </c>
      <c r="J1549" s="312">
        <f t="shared" si="385"/>
        <v>1.5710000000000002</v>
      </c>
      <c r="K1549" s="312">
        <f t="shared" si="386"/>
        <v>2.028</v>
      </c>
      <c r="L1549" s="204">
        <f t="shared" si="387"/>
        <v>20.359102400000001</v>
      </c>
      <c r="M1549" s="204">
        <f t="shared" si="388"/>
        <v>27.366820000000004</v>
      </c>
      <c r="N1549" s="204">
        <f t="shared" si="389"/>
        <v>35.327760000000005</v>
      </c>
    </row>
    <row r="1550" spans="1:14" x14ac:dyDescent="0.25">
      <c r="A1550" s="271">
        <v>15</v>
      </c>
      <c r="B1550" s="272">
        <f>B74*'CO '!$G$1486</f>
        <v>62.611812189672953</v>
      </c>
      <c r="C1550" s="273">
        <f t="shared" si="380"/>
        <v>62.611812189672953</v>
      </c>
      <c r="D1550" s="273">
        <f t="shared" si="390"/>
        <v>62.611812189672953</v>
      </c>
      <c r="E1550" s="273">
        <f t="shared" si="391"/>
        <v>62.611812189672953</v>
      </c>
      <c r="F1550" s="266">
        <f t="shared" si="381"/>
        <v>2</v>
      </c>
      <c r="G1550" s="266">
        <f t="shared" si="382"/>
        <v>2</v>
      </c>
      <c r="H1550" s="266">
        <f t="shared" si="383"/>
        <v>2</v>
      </c>
      <c r="I1550" s="312">
        <f t="shared" si="384"/>
        <v>1.16872</v>
      </c>
      <c r="J1550" s="312">
        <f t="shared" si="385"/>
        <v>1.5710000000000002</v>
      </c>
      <c r="K1550" s="312">
        <f t="shared" si="386"/>
        <v>2.028</v>
      </c>
      <c r="L1550" s="204">
        <f t="shared" si="387"/>
        <v>20.359102400000001</v>
      </c>
      <c r="M1550" s="204">
        <f t="shared" si="388"/>
        <v>27.366820000000004</v>
      </c>
      <c r="N1550" s="204">
        <f t="shared" si="389"/>
        <v>35.327760000000005</v>
      </c>
    </row>
    <row r="1551" spans="1:14" x14ac:dyDescent="0.25">
      <c r="A1551" s="271">
        <v>16</v>
      </c>
      <c r="B1551" s="272">
        <f>B75*'CO '!$G$1486</f>
        <v>62.415362954697429</v>
      </c>
      <c r="C1551" s="273">
        <f t="shared" si="380"/>
        <v>62.415362954697429</v>
      </c>
      <c r="D1551" s="273">
        <f t="shared" si="390"/>
        <v>62.415362954697429</v>
      </c>
      <c r="E1551" s="273">
        <f t="shared" si="391"/>
        <v>62.415362954697429</v>
      </c>
      <c r="F1551" s="266">
        <f t="shared" si="381"/>
        <v>2</v>
      </c>
      <c r="G1551" s="266">
        <f t="shared" si="382"/>
        <v>2</v>
      </c>
      <c r="H1551" s="266">
        <f t="shared" si="383"/>
        <v>2</v>
      </c>
      <c r="I1551" s="312">
        <f t="shared" si="384"/>
        <v>1.16872</v>
      </c>
      <c r="J1551" s="312">
        <f t="shared" si="385"/>
        <v>1.5710000000000002</v>
      </c>
      <c r="K1551" s="312">
        <f t="shared" si="386"/>
        <v>2.028</v>
      </c>
      <c r="L1551" s="204">
        <f t="shared" si="387"/>
        <v>20.359102400000001</v>
      </c>
      <c r="M1551" s="204">
        <f t="shared" si="388"/>
        <v>27.366820000000004</v>
      </c>
      <c r="N1551" s="204">
        <f t="shared" si="389"/>
        <v>35.327760000000005</v>
      </c>
    </row>
    <row r="1552" spans="1:14" x14ac:dyDescent="0.25">
      <c r="A1552" s="271">
        <v>17</v>
      </c>
      <c r="B1552" s="272">
        <f>B76*'CO '!$G$1486</f>
        <v>62.096059137455995</v>
      </c>
      <c r="C1552" s="273">
        <f t="shared" si="380"/>
        <v>62.096059137455995</v>
      </c>
      <c r="D1552" s="273">
        <f t="shared" si="390"/>
        <v>62.096059137455995</v>
      </c>
      <c r="E1552" s="273">
        <f t="shared" si="391"/>
        <v>62.096059137455995</v>
      </c>
      <c r="F1552" s="266">
        <f t="shared" si="381"/>
        <v>2</v>
      </c>
      <c r="G1552" s="266">
        <f t="shared" si="382"/>
        <v>2</v>
      </c>
      <c r="H1552" s="266">
        <f t="shared" si="383"/>
        <v>2</v>
      </c>
      <c r="I1552" s="312">
        <f t="shared" si="384"/>
        <v>1.16872</v>
      </c>
      <c r="J1552" s="312">
        <f t="shared" si="385"/>
        <v>1.5710000000000002</v>
      </c>
      <c r="K1552" s="312">
        <f t="shared" si="386"/>
        <v>2.028</v>
      </c>
      <c r="L1552" s="204">
        <f t="shared" si="387"/>
        <v>20.359102400000001</v>
      </c>
      <c r="M1552" s="204">
        <f t="shared" si="388"/>
        <v>27.366820000000004</v>
      </c>
      <c r="N1552" s="204">
        <f t="shared" si="389"/>
        <v>35.327760000000005</v>
      </c>
    </row>
    <row r="1553" spans="1:14" x14ac:dyDescent="0.25">
      <c r="A1553" s="271">
        <v>18</v>
      </c>
      <c r="B1553" s="272">
        <f>B77*'CO '!$G$1486</f>
        <v>61.767176205697325</v>
      </c>
      <c r="C1553" s="273">
        <f t="shared" si="380"/>
        <v>61.767176205697325</v>
      </c>
      <c r="D1553" s="273">
        <f t="shared" si="390"/>
        <v>61.767176205697325</v>
      </c>
      <c r="E1553" s="273">
        <f t="shared" si="391"/>
        <v>61.767176205697325</v>
      </c>
      <c r="F1553" s="266">
        <f t="shared" si="381"/>
        <v>2</v>
      </c>
      <c r="G1553" s="266">
        <f t="shared" si="382"/>
        <v>2</v>
      </c>
      <c r="H1553" s="266">
        <f t="shared" si="383"/>
        <v>2</v>
      </c>
      <c r="I1553" s="312">
        <f t="shared" si="384"/>
        <v>1.16872</v>
      </c>
      <c r="J1553" s="312">
        <f t="shared" si="385"/>
        <v>1.5710000000000002</v>
      </c>
      <c r="K1553" s="312">
        <f t="shared" si="386"/>
        <v>2.028</v>
      </c>
      <c r="L1553" s="204">
        <f t="shared" si="387"/>
        <v>20.359102400000001</v>
      </c>
      <c r="M1553" s="204">
        <f t="shared" si="388"/>
        <v>27.366820000000004</v>
      </c>
      <c r="N1553" s="204">
        <f t="shared" si="389"/>
        <v>35.327760000000005</v>
      </c>
    </row>
    <row r="1554" spans="1:14" x14ac:dyDescent="0.25">
      <c r="A1554" s="271">
        <v>19</v>
      </c>
      <c r="B1554" s="272">
        <f>B78*'CO '!$G$1486</f>
        <v>61.428426785985899</v>
      </c>
      <c r="C1554" s="273">
        <f t="shared" si="380"/>
        <v>61.428426785985899</v>
      </c>
      <c r="D1554" s="273">
        <f t="shared" si="390"/>
        <v>61.428426785985899</v>
      </c>
      <c r="E1554" s="273">
        <f t="shared" si="391"/>
        <v>61.428426785985899</v>
      </c>
      <c r="F1554" s="266">
        <f t="shared" si="381"/>
        <v>2</v>
      </c>
      <c r="G1554" s="266">
        <f t="shared" si="382"/>
        <v>2</v>
      </c>
      <c r="H1554" s="266">
        <f t="shared" si="383"/>
        <v>2</v>
      </c>
      <c r="I1554" s="312">
        <f t="shared" si="384"/>
        <v>1.16872</v>
      </c>
      <c r="J1554" s="312">
        <f t="shared" si="385"/>
        <v>1.5710000000000002</v>
      </c>
      <c r="K1554" s="312">
        <f t="shared" si="386"/>
        <v>2.028</v>
      </c>
      <c r="L1554" s="204">
        <f t="shared" si="387"/>
        <v>20.359102400000001</v>
      </c>
      <c r="M1554" s="204">
        <f t="shared" si="388"/>
        <v>27.366820000000004</v>
      </c>
      <c r="N1554" s="204">
        <f t="shared" si="389"/>
        <v>35.327760000000005</v>
      </c>
    </row>
    <row r="1555" spans="1:14" x14ac:dyDescent="0.25">
      <c r="A1555" s="271">
        <v>20</v>
      </c>
      <c r="B1555" s="272">
        <f>B79*'CO '!$G$1486</f>
        <v>61.079514883683117</v>
      </c>
      <c r="C1555" s="273">
        <f t="shared" si="380"/>
        <v>61.079514883683117</v>
      </c>
      <c r="D1555" s="273">
        <f t="shared" si="390"/>
        <v>61.079514883683117</v>
      </c>
      <c r="E1555" s="273">
        <f t="shared" si="391"/>
        <v>61.079514883683117</v>
      </c>
      <c r="F1555" s="266">
        <f t="shared" si="381"/>
        <v>2</v>
      </c>
      <c r="G1555" s="266">
        <f t="shared" si="382"/>
        <v>2</v>
      </c>
      <c r="H1555" s="266">
        <f t="shared" si="383"/>
        <v>2</v>
      </c>
      <c r="I1555" s="312">
        <f t="shared" si="384"/>
        <v>1.16872</v>
      </c>
      <c r="J1555" s="312">
        <f t="shared" si="385"/>
        <v>1.5710000000000002</v>
      </c>
      <c r="K1555" s="312">
        <f t="shared" si="386"/>
        <v>2.028</v>
      </c>
      <c r="L1555" s="204">
        <f t="shared" si="387"/>
        <v>20.359102400000001</v>
      </c>
      <c r="M1555" s="204">
        <f t="shared" si="388"/>
        <v>27.366820000000004</v>
      </c>
      <c r="N1555" s="204">
        <f t="shared" si="389"/>
        <v>35.327760000000005</v>
      </c>
    </row>
    <row r="1556" spans="1:14" x14ac:dyDescent="0.25">
      <c r="A1556" s="271">
        <v>21</v>
      </c>
      <c r="B1556" s="272">
        <f>B80*'CO '!$G$1486</f>
        <v>60.720135624311261</v>
      </c>
      <c r="C1556" s="273">
        <f t="shared" si="380"/>
        <v>60.720135624311261</v>
      </c>
      <c r="D1556" s="273">
        <f t="shared" si="390"/>
        <v>60.720135624311261</v>
      </c>
      <c r="E1556" s="273">
        <f t="shared" si="391"/>
        <v>60.720135624311261</v>
      </c>
      <c r="F1556" s="266">
        <f t="shared" si="381"/>
        <v>2</v>
      </c>
      <c r="G1556" s="266">
        <f t="shared" si="382"/>
        <v>2</v>
      </c>
      <c r="H1556" s="266">
        <f t="shared" si="383"/>
        <v>2</v>
      </c>
      <c r="I1556" s="312">
        <f t="shared" si="384"/>
        <v>1.16872</v>
      </c>
      <c r="J1556" s="312">
        <f t="shared" si="385"/>
        <v>1.5710000000000002</v>
      </c>
      <c r="K1556" s="312">
        <f t="shared" si="386"/>
        <v>2.028</v>
      </c>
      <c r="L1556" s="204">
        <f t="shared" si="387"/>
        <v>20.359102400000001</v>
      </c>
      <c r="M1556" s="204">
        <f t="shared" si="388"/>
        <v>27.366820000000004</v>
      </c>
      <c r="N1556" s="204">
        <f t="shared" si="389"/>
        <v>35.327760000000005</v>
      </c>
    </row>
    <row r="1557" spans="1:14" x14ac:dyDescent="0.25">
      <c r="A1557" s="271">
        <v>22</v>
      </c>
      <c r="B1557" s="272">
        <f>B81*'CO '!$G$1486</f>
        <v>60.349974987158248</v>
      </c>
      <c r="C1557" s="273">
        <f t="shared" si="380"/>
        <v>60.349974987158248</v>
      </c>
      <c r="D1557" s="273">
        <f t="shared" si="390"/>
        <v>60.349974987158248</v>
      </c>
      <c r="E1557" s="273">
        <f t="shared" si="391"/>
        <v>60.349974987158248</v>
      </c>
      <c r="F1557" s="266">
        <f t="shared" si="381"/>
        <v>2</v>
      </c>
      <c r="G1557" s="266">
        <f t="shared" si="382"/>
        <v>2</v>
      </c>
      <c r="H1557" s="266">
        <f t="shared" si="383"/>
        <v>2</v>
      </c>
      <c r="I1557" s="312">
        <f t="shared" si="384"/>
        <v>1.16872</v>
      </c>
      <c r="J1557" s="312">
        <f t="shared" si="385"/>
        <v>1.5710000000000002</v>
      </c>
      <c r="K1557" s="312">
        <f t="shared" si="386"/>
        <v>2.028</v>
      </c>
      <c r="L1557" s="204">
        <f t="shared" si="387"/>
        <v>20.359102400000001</v>
      </c>
      <c r="M1557" s="204">
        <f t="shared" si="388"/>
        <v>27.366820000000004</v>
      </c>
      <c r="N1557" s="204">
        <f t="shared" si="389"/>
        <v>35.327760000000005</v>
      </c>
    </row>
    <row r="1558" spans="1:14" x14ac:dyDescent="0.25">
      <c r="A1558" s="271">
        <v>23</v>
      </c>
      <c r="B1558" s="272">
        <f>B82*'CO '!$G$1486</f>
        <v>59.968709530890642</v>
      </c>
      <c r="C1558" s="273">
        <f t="shared" si="380"/>
        <v>59.968709530890642</v>
      </c>
      <c r="D1558" s="273">
        <f t="shared" si="390"/>
        <v>59.968709530890642</v>
      </c>
      <c r="E1558" s="273">
        <f t="shared" si="391"/>
        <v>59.968709530890642</v>
      </c>
      <c r="F1558" s="266">
        <f t="shared" si="381"/>
        <v>2</v>
      </c>
      <c r="G1558" s="266">
        <f t="shared" si="382"/>
        <v>2</v>
      </c>
      <c r="H1558" s="266">
        <f t="shared" si="383"/>
        <v>2</v>
      </c>
      <c r="I1558" s="312">
        <f t="shared" si="384"/>
        <v>1.16872</v>
      </c>
      <c r="J1558" s="312">
        <f t="shared" si="385"/>
        <v>1.5710000000000002</v>
      </c>
      <c r="K1558" s="312">
        <f t="shared" si="386"/>
        <v>2.028</v>
      </c>
      <c r="L1558" s="204">
        <f t="shared" si="387"/>
        <v>20.359102400000001</v>
      </c>
      <c r="M1558" s="204">
        <f t="shared" si="388"/>
        <v>27.366820000000004</v>
      </c>
      <c r="N1558" s="204">
        <f t="shared" si="389"/>
        <v>35.327760000000005</v>
      </c>
    </row>
    <row r="1559" spans="1:14" x14ac:dyDescent="0.25">
      <c r="A1559" s="271">
        <v>24</v>
      </c>
      <c r="B1559" s="272">
        <f>B83*'CO '!$G$1486</f>
        <v>59.576006110935005</v>
      </c>
      <c r="C1559" s="273">
        <f t="shared" si="380"/>
        <v>59.576006110935005</v>
      </c>
      <c r="D1559" s="273">
        <f t="shared" si="390"/>
        <v>59.576006110935005</v>
      </c>
      <c r="E1559" s="273">
        <f t="shared" si="391"/>
        <v>59.576006110935005</v>
      </c>
      <c r="F1559" s="266">
        <f t="shared" si="381"/>
        <v>2</v>
      </c>
      <c r="G1559" s="266">
        <f t="shared" si="382"/>
        <v>2</v>
      </c>
      <c r="H1559" s="266">
        <f t="shared" si="383"/>
        <v>2</v>
      </c>
      <c r="I1559" s="312">
        <f t="shared" si="384"/>
        <v>1.16872</v>
      </c>
      <c r="J1559" s="312">
        <f t="shared" si="385"/>
        <v>1.5710000000000002</v>
      </c>
      <c r="K1559" s="312">
        <f t="shared" si="386"/>
        <v>2.028</v>
      </c>
      <c r="L1559" s="204">
        <f t="shared" si="387"/>
        <v>20.359102400000001</v>
      </c>
      <c r="M1559" s="204">
        <f t="shared" si="388"/>
        <v>27.366820000000004</v>
      </c>
      <c r="N1559" s="204">
        <f t="shared" si="389"/>
        <v>35.327760000000005</v>
      </c>
    </row>
    <row r="1560" spans="1:14" x14ac:dyDescent="0.25">
      <c r="A1560" s="271">
        <v>25</v>
      </c>
      <c r="B1560" s="272">
        <f>B84*'CO '!$G$1486</f>
        <v>59.171521588380706</v>
      </c>
      <c r="C1560" s="273">
        <f t="shared" si="380"/>
        <v>59.171521588380706</v>
      </c>
      <c r="D1560" s="273">
        <f t="shared" si="390"/>
        <v>59.171521588380706</v>
      </c>
      <c r="E1560" s="273">
        <f t="shared" si="391"/>
        <v>59.171521588380706</v>
      </c>
      <c r="F1560" s="266">
        <f t="shared" si="381"/>
        <v>2</v>
      </c>
      <c r="G1560" s="266">
        <f t="shared" si="382"/>
        <v>2</v>
      </c>
      <c r="H1560" s="266">
        <f t="shared" si="383"/>
        <v>2</v>
      </c>
      <c r="I1560" s="312">
        <f t="shared" si="384"/>
        <v>1.16872</v>
      </c>
      <c r="J1560" s="312">
        <f t="shared" si="385"/>
        <v>1.5710000000000002</v>
      </c>
      <c r="K1560" s="312">
        <f t="shared" si="386"/>
        <v>2.028</v>
      </c>
      <c r="L1560" s="204">
        <f t="shared" si="387"/>
        <v>20.359102400000001</v>
      </c>
      <c r="M1560" s="204">
        <f t="shared" si="388"/>
        <v>27.366820000000004</v>
      </c>
      <c r="N1560" s="204">
        <f t="shared" si="389"/>
        <v>35.327760000000005</v>
      </c>
    </row>
    <row r="1561" spans="1:14" x14ac:dyDescent="0.25">
      <c r="A1561" s="271">
        <v>26</v>
      </c>
      <c r="B1561" s="272">
        <f>B85*'CO '!$G$1486</f>
        <v>58.908708132292375</v>
      </c>
      <c r="C1561" s="273">
        <f t="shared" si="380"/>
        <v>58.908708132292375</v>
      </c>
      <c r="D1561" s="273">
        <f t="shared" si="390"/>
        <v>58.908708132292375</v>
      </c>
      <c r="E1561" s="273">
        <f t="shared" si="391"/>
        <v>58.908708132292375</v>
      </c>
      <c r="F1561" s="266">
        <f t="shared" si="381"/>
        <v>2</v>
      </c>
      <c r="G1561" s="266">
        <f t="shared" si="382"/>
        <v>2</v>
      </c>
      <c r="H1561" s="266">
        <f t="shared" si="383"/>
        <v>2</v>
      </c>
      <c r="I1561" s="312">
        <f t="shared" si="384"/>
        <v>1.16872</v>
      </c>
      <c r="J1561" s="312">
        <f t="shared" si="385"/>
        <v>1.5710000000000002</v>
      </c>
      <c r="K1561" s="312">
        <f t="shared" si="386"/>
        <v>2.028</v>
      </c>
      <c r="L1561" s="204">
        <f t="shared" si="387"/>
        <v>20.359102400000001</v>
      </c>
      <c r="M1561" s="204">
        <f t="shared" si="388"/>
        <v>27.366820000000004</v>
      </c>
      <c r="N1561" s="204">
        <f t="shared" si="389"/>
        <v>35.327760000000005</v>
      </c>
    </row>
    <row r="1562" spans="1:14" x14ac:dyDescent="0.25">
      <c r="A1562" s="271">
        <v>27</v>
      </c>
      <c r="B1562" s="272">
        <f>B86*'CO '!$G$1486</f>
        <v>58.484204670378794</v>
      </c>
      <c r="C1562" s="273">
        <f t="shared" si="380"/>
        <v>58.484204670378794</v>
      </c>
      <c r="D1562" s="273">
        <f t="shared" si="390"/>
        <v>58.484204670378794</v>
      </c>
      <c r="E1562" s="273">
        <f t="shared" si="391"/>
        <v>58.484204670378794</v>
      </c>
      <c r="F1562" s="266">
        <f t="shared" si="381"/>
        <v>2</v>
      </c>
      <c r="G1562" s="266">
        <f t="shared" si="382"/>
        <v>2</v>
      </c>
      <c r="H1562" s="266">
        <f t="shared" si="383"/>
        <v>2</v>
      </c>
      <c r="I1562" s="312">
        <f t="shared" si="384"/>
        <v>1.16872</v>
      </c>
      <c r="J1562" s="312">
        <f t="shared" si="385"/>
        <v>1.5710000000000002</v>
      </c>
      <c r="K1562" s="312">
        <f t="shared" si="386"/>
        <v>2.028</v>
      </c>
      <c r="L1562" s="204">
        <f t="shared" si="387"/>
        <v>20.359102400000001</v>
      </c>
      <c r="M1562" s="204">
        <f t="shared" si="388"/>
        <v>27.366820000000004</v>
      </c>
      <c r="N1562" s="204">
        <f t="shared" si="389"/>
        <v>35.327760000000005</v>
      </c>
    </row>
    <row r="1563" spans="1:14" x14ac:dyDescent="0.25">
      <c r="A1563" s="271">
        <v>28</v>
      </c>
      <c r="B1563" s="272">
        <f>B87*'CO '!$G$1486</f>
        <v>58.046966104607804</v>
      </c>
      <c r="C1563" s="273">
        <f t="shared" si="380"/>
        <v>58.046966104607804</v>
      </c>
      <c r="D1563" s="273">
        <f t="shared" si="390"/>
        <v>58.046966104607804</v>
      </c>
      <c r="E1563" s="273">
        <f t="shared" si="391"/>
        <v>58.046966104607804</v>
      </c>
      <c r="F1563" s="266">
        <f t="shared" si="381"/>
        <v>2</v>
      </c>
      <c r="G1563" s="266">
        <f t="shared" si="382"/>
        <v>2</v>
      </c>
      <c r="H1563" s="266">
        <f t="shared" si="383"/>
        <v>2</v>
      </c>
      <c r="I1563" s="312">
        <f t="shared" si="384"/>
        <v>1.16872</v>
      </c>
      <c r="J1563" s="312">
        <f t="shared" si="385"/>
        <v>1.5710000000000002</v>
      </c>
      <c r="K1563" s="312">
        <f t="shared" si="386"/>
        <v>2.028</v>
      </c>
      <c r="L1563" s="204">
        <f t="shared" si="387"/>
        <v>20.359102400000001</v>
      </c>
      <c r="M1563" s="204">
        <f t="shared" si="388"/>
        <v>27.366820000000004</v>
      </c>
      <c r="N1563" s="204">
        <f t="shared" si="389"/>
        <v>35.327760000000005</v>
      </c>
    </row>
    <row r="1564" spans="1:14" x14ac:dyDescent="0.25">
      <c r="A1564" s="271">
        <v>29</v>
      </c>
      <c r="B1564" s="272">
        <f>B88*'CO '!$G$1486</f>
        <v>57.596610381863684</v>
      </c>
      <c r="C1564" s="273">
        <f t="shared" si="380"/>
        <v>57.596610381863684</v>
      </c>
      <c r="D1564" s="273">
        <f t="shared" si="390"/>
        <v>57.596610381863684</v>
      </c>
      <c r="E1564" s="273">
        <f t="shared" si="391"/>
        <v>57.596610381863684</v>
      </c>
      <c r="F1564" s="266">
        <f t="shared" si="381"/>
        <v>2</v>
      </c>
      <c r="G1564" s="266">
        <f t="shared" si="382"/>
        <v>2</v>
      </c>
      <c r="H1564" s="266">
        <f t="shared" si="383"/>
        <v>2</v>
      </c>
      <c r="I1564" s="312">
        <f t="shared" si="384"/>
        <v>1.16872</v>
      </c>
      <c r="J1564" s="312">
        <f t="shared" si="385"/>
        <v>1.5710000000000002</v>
      </c>
      <c r="K1564" s="312">
        <f t="shared" si="386"/>
        <v>2.028</v>
      </c>
      <c r="L1564" s="204">
        <f t="shared" si="387"/>
        <v>20.359102400000001</v>
      </c>
      <c r="M1564" s="204">
        <f t="shared" si="388"/>
        <v>27.366820000000004</v>
      </c>
      <c r="N1564" s="204">
        <f t="shared" si="389"/>
        <v>35.327760000000005</v>
      </c>
    </row>
    <row r="1565" spans="1:14" x14ac:dyDescent="0.25">
      <c r="A1565" s="271">
        <v>30</v>
      </c>
      <c r="B1565" s="272">
        <f>B89*'CO '!$G$1486</f>
        <v>57.132743987437244</v>
      </c>
      <c r="C1565" s="273">
        <f t="shared" si="380"/>
        <v>57.132743987437244</v>
      </c>
      <c r="D1565" s="273">
        <f t="shared" si="390"/>
        <v>57.132743987437244</v>
      </c>
      <c r="E1565" s="273">
        <f t="shared" si="391"/>
        <v>57.132743987437244</v>
      </c>
      <c r="F1565" s="266">
        <f t="shared" si="381"/>
        <v>2</v>
      </c>
      <c r="G1565" s="266">
        <f t="shared" si="382"/>
        <v>2</v>
      </c>
      <c r="H1565" s="266">
        <f t="shared" si="383"/>
        <v>2</v>
      </c>
      <c r="I1565" s="312">
        <f t="shared" si="384"/>
        <v>1.16872</v>
      </c>
      <c r="J1565" s="312">
        <f t="shared" si="385"/>
        <v>1.5710000000000002</v>
      </c>
      <c r="K1565" s="312">
        <f t="shared" si="386"/>
        <v>2.028</v>
      </c>
      <c r="L1565" s="204">
        <f t="shared" si="387"/>
        <v>20.359102400000001</v>
      </c>
      <c r="M1565" s="204">
        <f t="shared" si="388"/>
        <v>27.366820000000004</v>
      </c>
      <c r="N1565" s="204">
        <f t="shared" si="389"/>
        <v>35.327760000000005</v>
      </c>
    </row>
    <row r="1566" spans="1:14" x14ac:dyDescent="0.25">
      <c r="A1566" s="271">
        <v>31</v>
      </c>
      <c r="B1566" s="272">
        <f>B90*'CO '!$G$1486</f>
        <v>56.654961601178002</v>
      </c>
      <c r="C1566" s="273">
        <f t="shared" si="380"/>
        <v>56.654961601178002</v>
      </c>
      <c r="D1566" s="273">
        <f>C1566</f>
        <v>56.654961601178002</v>
      </c>
      <c r="E1566" s="273">
        <f>D1566</f>
        <v>56.654961601178002</v>
      </c>
      <c r="F1566" s="266">
        <f>IF(C1566&gt;$B$1479,2,IF(C1566&gt;$B$1480,3,IF(C1566&gt;$B$1481,4,IF(C1566&gt;$B$1482,5,IF(C1566&gt;$B$1483,6,IF(C1566&gt;$B$1484,7,IF(C1566&gt;$B$1485,8,IF(C1566&gt;$B$1486,9,IF(C1566&gt;$B$1487,10,IF(C1566&gt;$B$1488,11,IF(C1566&gt;$B$1489,12,12)))))))))))</f>
        <v>2</v>
      </c>
      <c r="G1566" s="266">
        <f>IF(D1566&gt;$C$1479,2,IF(D1566&gt;$C$1480,3,IF(D1566&gt;$C$1481,4,IF(D1566&gt;$C$1482,5,IF(D1566&gt;$C$1483,6,IF(D1566&gt;$C$1484,7,IF(D1566&gt;$C$1485,8,IF(D1566&gt;$C$1486,9,IF(D1566&gt;$C$1487,10,IF(D1566&gt;$C$1488,11,IF(D1566&gt;$C$1489,12,12)))))))))))</f>
        <v>2</v>
      </c>
      <c r="H1566" s="266">
        <f>IF(E1566&gt;$D$1479,2,IF(E1566&gt;$D$1480,3,IF(E1566&gt;$D$1481,4,IF(E1566&gt;$D$1482,5,IF(E1566&gt;$D$1483,6,IF(E1566&gt;$D$1484,7,IF(E1566&gt;$D$1485,8,IF(E1566&gt;$D$1486,9,IF(E1566&gt;$D$1487,10,IF(E1566&gt;$D$1488,11,IF(E1566&gt;$D$1489,12,12)))))))))))</f>
        <v>2</v>
      </c>
      <c r="I1566" s="312">
        <f>0.00009*(F1566)^3-0.00125*(F1566)^2+0.05*(F1566)+1.073</f>
        <v>1.16872</v>
      </c>
      <c r="J1566" s="312">
        <f>-0.00005*(G1566)^3+0.0011*(G1566)^2+0.042*(G1566)+1.483</f>
        <v>1.5710000000000002</v>
      </c>
      <c r="K1566" s="312">
        <f>0*(H1566)^3+0*(H1566)^2+0.049*(H1566)+1.93</f>
        <v>2.028</v>
      </c>
      <c r="L1566" s="204">
        <f t="shared" ref="L1566:N1567" si="392">I1566*$B$1494</f>
        <v>20.359102400000001</v>
      </c>
      <c r="M1566" s="204">
        <f t="shared" si="392"/>
        <v>27.366820000000004</v>
      </c>
      <c r="N1566" s="204">
        <f t="shared" si="392"/>
        <v>35.327760000000005</v>
      </c>
    </row>
    <row r="1567" spans="1:14" x14ac:dyDescent="0.25">
      <c r="A1567" s="271">
        <v>32</v>
      </c>
      <c r="B1567" s="272">
        <f>B91*'CO '!$G$1486</f>
        <v>56.162845743330998</v>
      </c>
      <c r="C1567" s="273">
        <f t="shared" si="380"/>
        <v>56.162845743330998</v>
      </c>
      <c r="D1567" s="273">
        <f>C1567</f>
        <v>56.162845743330998</v>
      </c>
      <c r="E1567" s="273">
        <f>D1567</f>
        <v>56.162845743330998</v>
      </c>
      <c r="F1567" s="266">
        <f>IF(C1567&gt;$B$1479,2,IF(C1567&gt;$B$1480,3,IF(C1567&gt;$B$1481,4,IF(C1567&gt;$B$1482,5,IF(C1567&gt;$B$1483,6,IF(C1567&gt;$B$1484,7,IF(C1567&gt;$B$1485,8,IF(C1567&gt;$B$1486,9,IF(C1567&gt;$B$1487,10,IF(C1567&gt;$B$1488,11,IF(C1567&gt;$B$1489,12,12)))))))))))</f>
        <v>2</v>
      </c>
      <c r="G1567" s="266">
        <f>IF(D1567&gt;$C$1479,2,IF(D1567&gt;$C$1480,3,IF(D1567&gt;$C$1481,4,IF(D1567&gt;$C$1482,5,IF(D1567&gt;$C$1483,6,IF(D1567&gt;$C$1484,7,IF(D1567&gt;$C$1485,8,IF(D1567&gt;$C$1486,9,IF(D1567&gt;$C$1487,10,IF(D1567&gt;$C$1488,11,IF(D1567&gt;$C$1489,12,12)))))))))))</f>
        <v>2</v>
      </c>
      <c r="H1567" s="266">
        <f>IF(E1567&gt;$D$1479,2,IF(E1567&gt;$D$1480,3,IF(E1567&gt;$D$1481,4,IF(E1567&gt;$D$1482,5,IF(E1567&gt;$D$1483,6,IF(E1567&gt;$D$1484,7,IF(E1567&gt;$D$1485,8,IF(E1567&gt;$D$1486,9,IF(E1567&gt;$D$1487,10,IF(E1567&gt;$D$1488,11,IF(E1567&gt;$D$1489,12,12)))))))))))</f>
        <v>2</v>
      </c>
      <c r="I1567" s="312">
        <f>0.00009*(F1567)^3-0.00125*(F1567)^2+0.05*(F1567)+1.073</f>
        <v>1.16872</v>
      </c>
      <c r="J1567" s="312">
        <f>-0.00005*(G1567)^3+0.0011*(G1567)^2+0.042*(G1567)+1.483</f>
        <v>1.5710000000000002</v>
      </c>
      <c r="K1567" s="312">
        <f>0*(H1567)^3+0*(H1567)^2+0.049*(H1567)+1.93</f>
        <v>2.028</v>
      </c>
      <c r="L1567" s="204">
        <f t="shared" si="392"/>
        <v>20.359102400000001</v>
      </c>
      <c r="M1567" s="204">
        <f t="shared" si="392"/>
        <v>27.366820000000004</v>
      </c>
      <c r="N1567" s="204">
        <f t="shared" si="392"/>
        <v>35.327760000000005</v>
      </c>
    </row>
    <row r="1568" spans="1:14" x14ac:dyDescent="0.25">
      <c r="A1568" s="239" t="s">
        <v>44</v>
      </c>
      <c r="B1568" s="239"/>
      <c r="C1568" s="19"/>
    </row>
    <row r="1569" spans="1:14" x14ac:dyDescent="0.25">
      <c r="A1569" t="s">
        <v>296</v>
      </c>
      <c r="C1569" t="s">
        <v>259</v>
      </c>
    </row>
    <row r="1570" spans="1:14" x14ac:dyDescent="0.25">
      <c r="A1570" s="43" t="s">
        <v>228</v>
      </c>
      <c r="B1570" s="43">
        <f>B1532</f>
        <v>17.420000000000002</v>
      </c>
    </row>
    <row r="1571" spans="1:14" x14ac:dyDescent="0.25">
      <c r="A1571" s="43" t="s">
        <v>99</v>
      </c>
      <c r="B1571" s="169" t="str">
        <f>B1495</f>
        <v>P</v>
      </c>
      <c r="C1571" s="575" t="s">
        <v>229</v>
      </c>
      <c r="D1571" s="575"/>
      <c r="E1571" s="575"/>
      <c r="F1571" s="575" t="s">
        <v>230</v>
      </c>
      <c r="G1571" s="576"/>
      <c r="H1571" s="576"/>
      <c r="I1571" s="575" t="s">
        <v>231</v>
      </c>
      <c r="J1571" s="575"/>
      <c r="K1571" s="575"/>
      <c r="L1571" s="575" t="s">
        <v>240</v>
      </c>
      <c r="M1571" s="575"/>
      <c r="N1571" s="575"/>
    </row>
    <row r="1572" spans="1:14" x14ac:dyDescent="0.25">
      <c r="A1572" s="35" t="s">
        <v>18</v>
      </c>
      <c r="B1572" s="95" t="s">
        <v>20</v>
      </c>
      <c r="C1572" s="270" t="s">
        <v>233</v>
      </c>
      <c r="D1572" s="270" t="s">
        <v>234</v>
      </c>
      <c r="E1572" s="270" t="s">
        <v>235</v>
      </c>
      <c r="F1572" s="270" t="s">
        <v>233</v>
      </c>
      <c r="G1572" s="270" t="s">
        <v>234</v>
      </c>
      <c r="H1572" s="270" t="s">
        <v>235</v>
      </c>
      <c r="I1572" s="270" t="s">
        <v>233</v>
      </c>
      <c r="J1572" s="270" t="s">
        <v>234</v>
      </c>
      <c r="K1572" s="270" t="s">
        <v>235</v>
      </c>
      <c r="L1572" s="270" t="s">
        <v>233</v>
      </c>
      <c r="M1572" s="270" t="s">
        <v>234</v>
      </c>
      <c r="N1572" s="270" t="s">
        <v>235</v>
      </c>
    </row>
    <row r="1573" spans="1:14" x14ac:dyDescent="0.25">
      <c r="A1573" s="271">
        <v>0</v>
      </c>
      <c r="B1573" s="272">
        <f>B96*'CO '!$G$1486</f>
        <v>50.823529411764703</v>
      </c>
      <c r="C1573" s="273">
        <f>B1573</f>
        <v>50.823529411764703</v>
      </c>
      <c r="D1573" s="273">
        <f>C1573</f>
        <v>50.823529411764703</v>
      </c>
      <c r="E1573" s="273">
        <f>D1573</f>
        <v>50.823529411764703</v>
      </c>
      <c r="F1573" s="266">
        <f>IF(C1573&gt;$B$1479,2,IF(C1573&gt;$B$1480,3,IF(C1573&gt;$B$1481,4,IF(C1573&gt;$B$1482,5,IF(C1573&gt;$B$1483,6,IF(C1573&gt;$B$1484,7,IF(C1573&gt;$B$1485,8,IF(C1573&gt;$B$1486,9,IF(C1573&gt;$B$1487,10,IF(C1573&gt;$B$1488,11,IF(C1573&gt;$B$1489,12,12)))))))))))</f>
        <v>5</v>
      </c>
      <c r="G1573" s="266">
        <f>IF(D1573&gt;$C$1479,2,IF(D1573&gt;$C$1480,3,IF(D1573&gt;$C$1481,4,IF(D1573&gt;$C$1482,5,IF(D1573&gt;$C$1483,6,IF(D1573&gt;$C$1484,7,IF(D1573&gt;$C$1485,8,IF(D1573&gt;$C$1486,9,IF(D1573&gt;$C$1487,10,IF(D1573&gt;$C$1488,11,IF(D1573&gt;$C$1489,12,12)))))))))))</f>
        <v>2</v>
      </c>
      <c r="H1573" s="266">
        <f>IF(E1573&gt;$D$1479,2,IF(E1573&gt;$D$1480,3,IF(E1573&gt;$D$1481,4,IF(E1573&gt;$D$1482,5,IF(E1573&gt;$D$1483,6,IF(E1573&gt;$D$1484,7,IF(E1573&gt;$D$1485,8,IF(E1573&gt;$D$1486,9,IF(E1573&gt;$D$1487,10,IF(E1573&gt;$D$1488,11,IF(E1573&gt;$D$1489,12,12)))))))))))</f>
        <v>2</v>
      </c>
      <c r="I1573" s="312">
        <f>0.00009*(F1573)^3-0.00125*(F1573)^2+0.05*(F1573)+1.073</f>
        <v>1.3029999999999999</v>
      </c>
      <c r="J1573" s="312">
        <f>-0.00005*(G1573)^3+0.0011*(G1573)^2+0.042*(G1573)+1.483</f>
        <v>1.5710000000000002</v>
      </c>
      <c r="K1573" s="312">
        <f>0*(H1573)^3+0*(H1573)^2+0.049*(H1573)+1.93</f>
        <v>2.028</v>
      </c>
      <c r="L1573" s="204">
        <f>I1573*$B$1494</f>
        <v>22.698260000000001</v>
      </c>
      <c r="M1573" s="204">
        <f>J1573*$B$1494</f>
        <v>27.366820000000004</v>
      </c>
      <c r="N1573" s="204">
        <f>K1573*$B$1494</f>
        <v>35.327760000000005</v>
      </c>
    </row>
    <row r="1574" spans="1:14" x14ac:dyDescent="0.25">
      <c r="A1574" s="271">
        <v>1</v>
      </c>
      <c r="B1574" s="272">
        <f>B97*'CO '!$G$1486</f>
        <v>50.823529411764703</v>
      </c>
      <c r="C1574" s="273">
        <f t="shared" ref="C1574:C1605" si="393">B1574</f>
        <v>50.823529411764703</v>
      </c>
      <c r="D1574" s="311">
        <f>C1574</f>
        <v>50.823529411764703</v>
      </c>
      <c r="E1574" s="311">
        <f>D1574</f>
        <v>50.823529411764703</v>
      </c>
      <c r="F1574" s="266">
        <f t="shared" ref="F1574:F1603" si="394">IF(C1574&gt;$B$1479,2,IF(C1574&gt;$B$1480,3,IF(C1574&gt;$B$1481,4,IF(C1574&gt;$B$1482,5,IF(C1574&gt;$B$1483,6,IF(C1574&gt;$B$1484,7,IF(C1574&gt;$B$1485,8,IF(C1574&gt;$B$1486,9,IF(C1574&gt;$B$1487,10,IF(C1574&gt;$B$1488,11,IF(C1574&gt;$B$1489,12,12)))))))))))</f>
        <v>5</v>
      </c>
      <c r="G1574" s="266">
        <f t="shared" ref="G1574:G1603" si="395">IF(D1574&gt;$C$1479,2,IF(D1574&gt;$C$1480,3,IF(D1574&gt;$C$1481,4,IF(D1574&gt;$C$1482,5,IF(D1574&gt;$C$1483,6,IF(D1574&gt;$C$1484,7,IF(D1574&gt;$C$1485,8,IF(D1574&gt;$C$1486,9,IF(D1574&gt;$C$1487,10,IF(D1574&gt;$C$1488,11,IF(D1574&gt;$C$1489,12,12)))))))))))</f>
        <v>2</v>
      </c>
      <c r="H1574" s="266">
        <f t="shared" ref="H1574:H1603" si="396">IF(E1574&gt;$D$1479,2,IF(E1574&gt;$D$1480,3,IF(E1574&gt;$D$1481,4,IF(E1574&gt;$D$1482,5,IF(E1574&gt;$D$1483,6,IF(E1574&gt;$D$1484,7,IF(E1574&gt;$D$1485,8,IF(E1574&gt;$D$1486,9,IF(E1574&gt;$D$1487,10,IF(E1574&gt;$D$1488,11,IF(E1574&gt;$D$1489,12,12)))))))))))</f>
        <v>2</v>
      </c>
      <c r="I1574" s="312">
        <f t="shared" ref="I1574:I1603" si="397">0.00009*(F1574)^3-0.00125*(F1574)^2+0.05*(F1574)+1.073</f>
        <v>1.3029999999999999</v>
      </c>
      <c r="J1574" s="312">
        <f t="shared" ref="J1574:J1603" si="398">-0.00005*(G1574)^3+0.0011*(G1574)^2+0.042*(G1574)+1.483</f>
        <v>1.5710000000000002</v>
      </c>
      <c r="K1574" s="312">
        <f t="shared" ref="K1574:K1603" si="399">0*(H1574)^3+0*(H1574)^2+0.049*(H1574)+1.93</f>
        <v>2.028</v>
      </c>
      <c r="L1574" s="204">
        <f t="shared" ref="L1574:L1603" si="400">I1574*$B$1494</f>
        <v>22.698260000000001</v>
      </c>
      <c r="M1574" s="204">
        <f t="shared" ref="M1574:M1603" si="401">J1574*$B$1494</f>
        <v>27.366820000000004</v>
      </c>
      <c r="N1574" s="204">
        <f t="shared" ref="N1574:N1603" si="402">K1574*$B$1494</f>
        <v>35.327760000000005</v>
      </c>
    </row>
    <row r="1575" spans="1:14" x14ac:dyDescent="0.25">
      <c r="A1575" s="271">
        <v>2</v>
      </c>
      <c r="B1575" s="272">
        <f>B98*'CO '!$G$1486</f>
        <v>50.823529411764703</v>
      </c>
      <c r="C1575" s="273">
        <f t="shared" si="393"/>
        <v>50.823529411764703</v>
      </c>
      <c r="D1575" s="273">
        <f>C1575</f>
        <v>50.823529411764703</v>
      </c>
      <c r="E1575" s="273">
        <f>D1575</f>
        <v>50.823529411764703</v>
      </c>
      <c r="F1575" s="266">
        <f t="shared" si="394"/>
        <v>5</v>
      </c>
      <c r="G1575" s="266">
        <f t="shared" si="395"/>
        <v>2</v>
      </c>
      <c r="H1575" s="266">
        <f t="shared" si="396"/>
        <v>2</v>
      </c>
      <c r="I1575" s="312">
        <f t="shared" si="397"/>
        <v>1.3029999999999999</v>
      </c>
      <c r="J1575" s="312">
        <f t="shared" si="398"/>
        <v>1.5710000000000002</v>
      </c>
      <c r="K1575" s="312">
        <f t="shared" si="399"/>
        <v>2.028</v>
      </c>
      <c r="L1575" s="204">
        <f t="shared" si="400"/>
        <v>22.698260000000001</v>
      </c>
      <c r="M1575" s="204">
        <f t="shared" si="401"/>
        <v>27.366820000000004</v>
      </c>
      <c r="N1575" s="204">
        <f t="shared" si="402"/>
        <v>35.327760000000005</v>
      </c>
    </row>
    <row r="1576" spans="1:14" x14ac:dyDescent="0.25">
      <c r="A1576" s="271">
        <v>3</v>
      </c>
      <c r="B1576" s="272">
        <f>B99*'CO '!$G$1486</f>
        <v>50.823529411764703</v>
      </c>
      <c r="C1576" s="273">
        <f t="shared" si="393"/>
        <v>50.823529411764703</v>
      </c>
      <c r="D1576" s="273">
        <f t="shared" ref="D1576:D1603" si="403">C1576</f>
        <v>50.823529411764703</v>
      </c>
      <c r="E1576" s="273">
        <f t="shared" ref="E1576:E1603" si="404">D1576</f>
        <v>50.823529411764703</v>
      </c>
      <c r="F1576" s="266">
        <f t="shared" si="394"/>
        <v>5</v>
      </c>
      <c r="G1576" s="266">
        <f t="shared" si="395"/>
        <v>2</v>
      </c>
      <c r="H1576" s="266">
        <f t="shared" si="396"/>
        <v>2</v>
      </c>
      <c r="I1576" s="312">
        <f t="shared" si="397"/>
        <v>1.3029999999999999</v>
      </c>
      <c r="J1576" s="312">
        <f t="shared" si="398"/>
        <v>1.5710000000000002</v>
      </c>
      <c r="K1576" s="312">
        <f t="shared" si="399"/>
        <v>2.028</v>
      </c>
      <c r="L1576" s="204">
        <f t="shared" si="400"/>
        <v>22.698260000000001</v>
      </c>
      <c r="M1576" s="204">
        <f t="shared" si="401"/>
        <v>27.366820000000004</v>
      </c>
      <c r="N1576" s="204">
        <f t="shared" si="402"/>
        <v>35.327760000000005</v>
      </c>
    </row>
    <row r="1577" spans="1:14" x14ac:dyDescent="0.25">
      <c r="A1577" s="271">
        <v>4</v>
      </c>
      <c r="B1577" s="272">
        <f>B100*'CO '!$G$1486</f>
        <v>50.823529411764703</v>
      </c>
      <c r="C1577" s="273">
        <f t="shared" si="393"/>
        <v>50.823529411764703</v>
      </c>
      <c r="D1577" s="273">
        <f t="shared" si="403"/>
        <v>50.823529411764703</v>
      </c>
      <c r="E1577" s="273">
        <f t="shared" si="404"/>
        <v>50.823529411764703</v>
      </c>
      <c r="F1577" s="266">
        <f t="shared" si="394"/>
        <v>5</v>
      </c>
      <c r="G1577" s="266">
        <f t="shared" si="395"/>
        <v>2</v>
      </c>
      <c r="H1577" s="266">
        <f t="shared" si="396"/>
        <v>2</v>
      </c>
      <c r="I1577" s="312">
        <f t="shared" si="397"/>
        <v>1.3029999999999999</v>
      </c>
      <c r="J1577" s="312">
        <f t="shared" si="398"/>
        <v>1.5710000000000002</v>
      </c>
      <c r="K1577" s="312">
        <f t="shared" si="399"/>
        <v>2.028</v>
      </c>
      <c r="L1577" s="204">
        <f t="shared" si="400"/>
        <v>22.698260000000001</v>
      </c>
      <c r="M1577" s="204">
        <f t="shared" si="401"/>
        <v>27.366820000000004</v>
      </c>
      <c r="N1577" s="204">
        <f t="shared" si="402"/>
        <v>35.327760000000005</v>
      </c>
    </row>
    <row r="1578" spans="1:14" x14ac:dyDescent="0.25">
      <c r="A1578" s="271">
        <v>5</v>
      </c>
      <c r="B1578" s="272">
        <f>B101*'CO '!$G$1486</f>
        <v>50.823529411764703</v>
      </c>
      <c r="C1578" s="273">
        <f t="shared" si="393"/>
        <v>50.823529411764703</v>
      </c>
      <c r="D1578" s="273">
        <f t="shared" si="403"/>
        <v>50.823529411764703</v>
      </c>
      <c r="E1578" s="273">
        <f t="shared" si="404"/>
        <v>50.823529411764703</v>
      </c>
      <c r="F1578" s="266">
        <f t="shared" si="394"/>
        <v>5</v>
      </c>
      <c r="G1578" s="266">
        <f t="shared" si="395"/>
        <v>2</v>
      </c>
      <c r="H1578" s="266">
        <f t="shared" si="396"/>
        <v>2</v>
      </c>
      <c r="I1578" s="312">
        <f t="shared" si="397"/>
        <v>1.3029999999999999</v>
      </c>
      <c r="J1578" s="312">
        <f t="shared" si="398"/>
        <v>1.5710000000000002</v>
      </c>
      <c r="K1578" s="312">
        <f t="shared" si="399"/>
        <v>2.028</v>
      </c>
      <c r="L1578" s="204">
        <f t="shared" si="400"/>
        <v>22.698260000000001</v>
      </c>
      <c r="M1578" s="204">
        <f t="shared" si="401"/>
        <v>27.366820000000004</v>
      </c>
      <c r="N1578" s="204">
        <f t="shared" si="402"/>
        <v>35.327760000000005</v>
      </c>
    </row>
    <row r="1579" spans="1:14" x14ac:dyDescent="0.25">
      <c r="A1579" s="271">
        <v>6</v>
      </c>
      <c r="B1579" s="272">
        <f>B102*'CO '!$G$1486</f>
        <v>50.823529411764703</v>
      </c>
      <c r="C1579" s="273">
        <f t="shared" si="393"/>
        <v>50.823529411764703</v>
      </c>
      <c r="D1579" s="273">
        <f t="shared" si="403"/>
        <v>50.823529411764703</v>
      </c>
      <c r="E1579" s="273">
        <f t="shared" si="404"/>
        <v>50.823529411764703</v>
      </c>
      <c r="F1579" s="266">
        <f t="shared" si="394"/>
        <v>5</v>
      </c>
      <c r="G1579" s="266">
        <f t="shared" si="395"/>
        <v>2</v>
      </c>
      <c r="H1579" s="266">
        <f t="shared" si="396"/>
        <v>2</v>
      </c>
      <c r="I1579" s="312">
        <f t="shared" si="397"/>
        <v>1.3029999999999999</v>
      </c>
      <c r="J1579" s="312">
        <f t="shared" si="398"/>
        <v>1.5710000000000002</v>
      </c>
      <c r="K1579" s="312">
        <f t="shared" si="399"/>
        <v>2.028</v>
      </c>
      <c r="L1579" s="204">
        <f t="shared" si="400"/>
        <v>22.698260000000001</v>
      </c>
      <c r="M1579" s="204">
        <f t="shared" si="401"/>
        <v>27.366820000000004</v>
      </c>
      <c r="N1579" s="204">
        <f t="shared" si="402"/>
        <v>35.327760000000005</v>
      </c>
    </row>
    <row r="1580" spans="1:14" x14ac:dyDescent="0.25">
      <c r="A1580" s="271">
        <v>7</v>
      </c>
      <c r="B1580" s="272">
        <f>B103*'CO '!$G$1486</f>
        <v>50.823529411764703</v>
      </c>
      <c r="C1580" s="273">
        <f t="shared" si="393"/>
        <v>50.823529411764703</v>
      </c>
      <c r="D1580" s="273">
        <f t="shared" si="403"/>
        <v>50.823529411764703</v>
      </c>
      <c r="E1580" s="273">
        <f t="shared" si="404"/>
        <v>50.823529411764703</v>
      </c>
      <c r="F1580" s="266">
        <f t="shared" si="394"/>
        <v>5</v>
      </c>
      <c r="G1580" s="266">
        <f t="shared" si="395"/>
        <v>2</v>
      </c>
      <c r="H1580" s="266">
        <f t="shared" si="396"/>
        <v>2</v>
      </c>
      <c r="I1580" s="312">
        <f t="shared" si="397"/>
        <v>1.3029999999999999</v>
      </c>
      <c r="J1580" s="312">
        <f t="shared" si="398"/>
        <v>1.5710000000000002</v>
      </c>
      <c r="K1580" s="312">
        <f t="shared" si="399"/>
        <v>2.028</v>
      </c>
      <c r="L1580" s="204">
        <f t="shared" si="400"/>
        <v>22.698260000000001</v>
      </c>
      <c r="M1580" s="204">
        <f t="shared" si="401"/>
        <v>27.366820000000004</v>
      </c>
      <c r="N1580" s="204">
        <f t="shared" si="402"/>
        <v>35.327760000000005</v>
      </c>
    </row>
    <row r="1581" spans="1:14" x14ac:dyDescent="0.25">
      <c r="A1581" s="271">
        <v>8</v>
      </c>
      <c r="B1581" s="272">
        <f>B104*'CO '!$G$1486</f>
        <v>50.823529411764703</v>
      </c>
      <c r="C1581" s="273">
        <f t="shared" si="393"/>
        <v>50.823529411764703</v>
      </c>
      <c r="D1581" s="273">
        <f t="shared" si="403"/>
        <v>50.823529411764703</v>
      </c>
      <c r="E1581" s="273">
        <f t="shared" si="404"/>
        <v>50.823529411764703</v>
      </c>
      <c r="F1581" s="266">
        <f t="shared" si="394"/>
        <v>5</v>
      </c>
      <c r="G1581" s="266">
        <f t="shared" si="395"/>
        <v>2</v>
      </c>
      <c r="H1581" s="266">
        <f t="shared" si="396"/>
        <v>2</v>
      </c>
      <c r="I1581" s="312">
        <f t="shared" si="397"/>
        <v>1.3029999999999999</v>
      </c>
      <c r="J1581" s="312">
        <f t="shared" si="398"/>
        <v>1.5710000000000002</v>
      </c>
      <c r="K1581" s="312">
        <f t="shared" si="399"/>
        <v>2.028</v>
      </c>
      <c r="L1581" s="204">
        <f t="shared" si="400"/>
        <v>22.698260000000001</v>
      </c>
      <c r="M1581" s="204">
        <f t="shared" si="401"/>
        <v>27.366820000000004</v>
      </c>
      <c r="N1581" s="204">
        <f t="shared" si="402"/>
        <v>35.327760000000005</v>
      </c>
    </row>
    <row r="1582" spans="1:14" x14ac:dyDescent="0.25">
      <c r="A1582" s="271">
        <v>9</v>
      </c>
      <c r="B1582" s="272">
        <f>B105*'CO '!$G$1486</f>
        <v>50.823529411764703</v>
      </c>
      <c r="C1582" s="273">
        <f t="shared" si="393"/>
        <v>50.823529411764703</v>
      </c>
      <c r="D1582" s="273">
        <f t="shared" si="403"/>
        <v>50.823529411764703</v>
      </c>
      <c r="E1582" s="273">
        <f t="shared" si="404"/>
        <v>50.823529411764703</v>
      </c>
      <c r="F1582" s="266">
        <f t="shared" si="394"/>
        <v>5</v>
      </c>
      <c r="G1582" s="266">
        <f t="shared" si="395"/>
        <v>2</v>
      </c>
      <c r="H1582" s="266">
        <f t="shared" si="396"/>
        <v>2</v>
      </c>
      <c r="I1582" s="312">
        <f t="shared" si="397"/>
        <v>1.3029999999999999</v>
      </c>
      <c r="J1582" s="312">
        <f t="shared" si="398"/>
        <v>1.5710000000000002</v>
      </c>
      <c r="K1582" s="312">
        <f t="shared" si="399"/>
        <v>2.028</v>
      </c>
      <c r="L1582" s="204">
        <f t="shared" si="400"/>
        <v>22.698260000000001</v>
      </c>
      <c r="M1582" s="204">
        <f t="shared" si="401"/>
        <v>27.366820000000004</v>
      </c>
      <c r="N1582" s="204">
        <f t="shared" si="402"/>
        <v>35.327760000000005</v>
      </c>
    </row>
    <row r="1583" spans="1:14" x14ac:dyDescent="0.25">
      <c r="A1583" s="271">
        <v>10</v>
      </c>
      <c r="B1583" s="272">
        <f>B106*'CO '!$G$1486</f>
        <v>50.823529411764703</v>
      </c>
      <c r="C1583" s="273">
        <f t="shared" si="393"/>
        <v>50.823529411764703</v>
      </c>
      <c r="D1583" s="273">
        <f t="shared" si="403"/>
        <v>50.823529411764703</v>
      </c>
      <c r="E1583" s="273">
        <f t="shared" si="404"/>
        <v>50.823529411764703</v>
      </c>
      <c r="F1583" s="266">
        <f t="shared" si="394"/>
        <v>5</v>
      </c>
      <c r="G1583" s="266">
        <f t="shared" si="395"/>
        <v>2</v>
      </c>
      <c r="H1583" s="266">
        <f t="shared" si="396"/>
        <v>2</v>
      </c>
      <c r="I1583" s="312">
        <f t="shared" si="397"/>
        <v>1.3029999999999999</v>
      </c>
      <c r="J1583" s="312">
        <f t="shared" si="398"/>
        <v>1.5710000000000002</v>
      </c>
      <c r="K1583" s="312">
        <f t="shared" si="399"/>
        <v>2.028</v>
      </c>
      <c r="L1583" s="204">
        <f t="shared" si="400"/>
        <v>22.698260000000001</v>
      </c>
      <c r="M1583" s="204">
        <f t="shared" si="401"/>
        <v>27.366820000000004</v>
      </c>
      <c r="N1583" s="204">
        <f t="shared" si="402"/>
        <v>35.327760000000005</v>
      </c>
    </row>
    <row r="1584" spans="1:14" x14ac:dyDescent="0.25">
      <c r="A1584" s="271">
        <v>11</v>
      </c>
      <c r="B1584" s="272">
        <f>B107*'CO '!$G$1486</f>
        <v>50.823529411764703</v>
      </c>
      <c r="C1584" s="273">
        <f t="shared" si="393"/>
        <v>50.823529411764703</v>
      </c>
      <c r="D1584" s="273">
        <f t="shared" si="403"/>
        <v>50.823529411764703</v>
      </c>
      <c r="E1584" s="273">
        <f t="shared" si="404"/>
        <v>50.823529411764703</v>
      </c>
      <c r="F1584" s="266">
        <f t="shared" si="394"/>
        <v>5</v>
      </c>
      <c r="G1584" s="266">
        <f t="shared" si="395"/>
        <v>2</v>
      </c>
      <c r="H1584" s="266">
        <f t="shared" si="396"/>
        <v>2</v>
      </c>
      <c r="I1584" s="312">
        <f t="shared" si="397"/>
        <v>1.3029999999999999</v>
      </c>
      <c r="J1584" s="312">
        <f t="shared" si="398"/>
        <v>1.5710000000000002</v>
      </c>
      <c r="K1584" s="312">
        <f t="shared" si="399"/>
        <v>2.028</v>
      </c>
      <c r="L1584" s="204">
        <f t="shared" si="400"/>
        <v>22.698260000000001</v>
      </c>
      <c r="M1584" s="204">
        <f t="shared" si="401"/>
        <v>27.366820000000004</v>
      </c>
      <c r="N1584" s="204">
        <f t="shared" si="402"/>
        <v>35.327760000000005</v>
      </c>
    </row>
    <row r="1585" spans="1:14" x14ac:dyDescent="0.25">
      <c r="A1585" s="271">
        <v>12</v>
      </c>
      <c r="B1585" s="272">
        <f>B108*'CO '!$G$1486</f>
        <v>45.741176470588229</v>
      </c>
      <c r="C1585" s="273">
        <f t="shared" si="393"/>
        <v>45.741176470588229</v>
      </c>
      <c r="D1585" s="273">
        <f t="shared" si="403"/>
        <v>45.741176470588229</v>
      </c>
      <c r="E1585" s="273">
        <f t="shared" si="404"/>
        <v>45.741176470588229</v>
      </c>
      <c r="F1585" s="266">
        <f t="shared" si="394"/>
        <v>7</v>
      </c>
      <c r="G1585" s="266">
        <f t="shared" si="395"/>
        <v>2</v>
      </c>
      <c r="H1585" s="266">
        <f t="shared" si="396"/>
        <v>2</v>
      </c>
      <c r="I1585" s="312">
        <f t="shared" si="397"/>
        <v>1.39262</v>
      </c>
      <c r="J1585" s="312">
        <f t="shared" si="398"/>
        <v>1.5710000000000002</v>
      </c>
      <c r="K1585" s="312">
        <f t="shared" si="399"/>
        <v>2.028</v>
      </c>
      <c r="L1585" s="204">
        <f t="shared" si="400"/>
        <v>24.259440400000003</v>
      </c>
      <c r="M1585" s="204">
        <f t="shared" si="401"/>
        <v>27.366820000000004</v>
      </c>
      <c r="N1585" s="204">
        <f t="shared" si="402"/>
        <v>35.327760000000005</v>
      </c>
    </row>
    <row r="1586" spans="1:14" x14ac:dyDescent="0.25">
      <c r="A1586" s="271">
        <v>13</v>
      </c>
      <c r="B1586" s="272">
        <f>B109*'CO '!$G$1486</f>
        <v>45.741176470588229</v>
      </c>
      <c r="C1586" s="273">
        <f t="shared" si="393"/>
        <v>45.741176470588229</v>
      </c>
      <c r="D1586" s="273">
        <f t="shared" si="403"/>
        <v>45.741176470588229</v>
      </c>
      <c r="E1586" s="273">
        <f t="shared" si="404"/>
        <v>45.741176470588229</v>
      </c>
      <c r="F1586" s="266">
        <f t="shared" si="394"/>
        <v>7</v>
      </c>
      <c r="G1586" s="266">
        <f t="shared" si="395"/>
        <v>2</v>
      </c>
      <c r="H1586" s="266">
        <f t="shared" si="396"/>
        <v>2</v>
      </c>
      <c r="I1586" s="312">
        <f t="shared" si="397"/>
        <v>1.39262</v>
      </c>
      <c r="J1586" s="312">
        <f t="shared" si="398"/>
        <v>1.5710000000000002</v>
      </c>
      <c r="K1586" s="312">
        <f t="shared" si="399"/>
        <v>2.028</v>
      </c>
      <c r="L1586" s="204">
        <f t="shared" si="400"/>
        <v>24.259440400000003</v>
      </c>
      <c r="M1586" s="204">
        <f t="shared" si="401"/>
        <v>27.366820000000004</v>
      </c>
      <c r="N1586" s="204">
        <f t="shared" si="402"/>
        <v>35.327760000000005</v>
      </c>
    </row>
    <row r="1587" spans="1:14" x14ac:dyDescent="0.25">
      <c r="A1587" s="271">
        <v>14</v>
      </c>
      <c r="B1587" s="272">
        <f>B110*'CO '!$G$1486</f>
        <v>45.741176470588229</v>
      </c>
      <c r="C1587" s="273">
        <f t="shared" si="393"/>
        <v>45.741176470588229</v>
      </c>
      <c r="D1587" s="273">
        <f t="shared" si="403"/>
        <v>45.741176470588229</v>
      </c>
      <c r="E1587" s="273">
        <f t="shared" si="404"/>
        <v>45.741176470588229</v>
      </c>
      <c r="F1587" s="266">
        <f t="shared" si="394"/>
        <v>7</v>
      </c>
      <c r="G1587" s="266">
        <f t="shared" si="395"/>
        <v>2</v>
      </c>
      <c r="H1587" s="266">
        <f t="shared" si="396"/>
        <v>2</v>
      </c>
      <c r="I1587" s="312">
        <f t="shared" si="397"/>
        <v>1.39262</v>
      </c>
      <c r="J1587" s="312">
        <f t="shared" si="398"/>
        <v>1.5710000000000002</v>
      </c>
      <c r="K1587" s="312">
        <f t="shared" si="399"/>
        <v>2.028</v>
      </c>
      <c r="L1587" s="204">
        <f t="shared" si="400"/>
        <v>24.259440400000003</v>
      </c>
      <c r="M1587" s="204">
        <f t="shared" si="401"/>
        <v>27.366820000000004</v>
      </c>
      <c r="N1587" s="204">
        <f t="shared" si="402"/>
        <v>35.327760000000005</v>
      </c>
    </row>
    <row r="1588" spans="1:14" x14ac:dyDescent="0.25">
      <c r="A1588" s="271">
        <v>15</v>
      </c>
      <c r="B1588" s="272">
        <f>B111*'CO '!$G$1486</f>
        <v>45.741176470588229</v>
      </c>
      <c r="C1588" s="273">
        <f t="shared" si="393"/>
        <v>45.741176470588229</v>
      </c>
      <c r="D1588" s="273">
        <f t="shared" si="403"/>
        <v>45.741176470588229</v>
      </c>
      <c r="E1588" s="273">
        <f t="shared" si="404"/>
        <v>45.741176470588229</v>
      </c>
      <c r="F1588" s="266">
        <f t="shared" si="394"/>
        <v>7</v>
      </c>
      <c r="G1588" s="266">
        <f t="shared" si="395"/>
        <v>2</v>
      </c>
      <c r="H1588" s="266">
        <f t="shared" si="396"/>
        <v>2</v>
      </c>
      <c r="I1588" s="312">
        <f t="shared" si="397"/>
        <v>1.39262</v>
      </c>
      <c r="J1588" s="312">
        <f t="shared" si="398"/>
        <v>1.5710000000000002</v>
      </c>
      <c r="K1588" s="312">
        <f t="shared" si="399"/>
        <v>2.028</v>
      </c>
      <c r="L1588" s="204">
        <f t="shared" si="400"/>
        <v>24.259440400000003</v>
      </c>
      <c r="M1588" s="204">
        <f t="shared" si="401"/>
        <v>27.366820000000004</v>
      </c>
      <c r="N1588" s="204">
        <f t="shared" si="402"/>
        <v>35.327760000000005</v>
      </c>
    </row>
    <row r="1589" spans="1:14" x14ac:dyDescent="0.25">
      <c r="A1589" s="271">
        <v>16</v>
      </c>
      <c r="B1589" s="272">
        <f>B112*'CO '!$G$1486</f>
        <v>45.741176470588229</v>
      </c>
      <c r="C1589" s="273">
        <f t="shared" si="393"/>
        <v>45.741176470588229</v>
      </c>
      <c r="D1589" s="273">
        <f t="shared" si="403"/>
        <v>45.741176470588229</v>
      </c>
      <c r="E1589" s="273">
        <f t="shared" si="404"/>
        <v>45.741176470588229</v>
      </c>
      <c r="F1589" s="266">
        <f t="shared" si="394"/>
        <v>7</v>
      </c>
      <c r="G1589" s="266">
        <f t="shared" si="395"/>
        <v>2</v>
      </c>
      <c r="H1589" s="266">
        <f t="shared" si="396"/>
        <v>2</v>
      </c>
      <c r="I1589" s="312">
        <f t="shared" si="397"/>
        <v>1.39262</v>
      </c>
      <c r="J1589" s="312">
        <f t="shared" si="398"/>
        <v>1.5710000000000002</v>
      </c>
      <c r="K1589" s="312">
        <f t="shared" si="399"/>
        <v>2.028</v>
      </c>
      <c r="L1589" s="204">
        <f t="shared" si="400"/>
        <v>24.259440400000003</v>
      </c>
      <c r="M1589" s="204">
        <f t="shared" si="401"/>
        <v>27.366820000000004</v>
      </c>
      <c r="N1589" s="204">
        <f t="shared" si="402"/>
        <v>35.327760000000005</v>
      </c>
    </row>
    <row r="1590" spans="1:14" x14ac:dyDescent="0.25">
      <c r="A1590" s="271">
        <v>17</v>
      </c>
      <c r="B1590" s="272">
        <f>B113*'CO '!$G$1486</f>
        <v>45.741176470588229</v>
      </c>
      <c r="C1590" s="273">
        <f t="shared" si="393"/>
        <v>45.741176470588229</v>
      </c>
      <c r="D1590" s="273">
        <f t="shared" si="403"/>
        <v>45.741176470588229</v>
      </c>
      <c r="E1590" s="273">
        <f t="shared" si="404"/>
        <v>45.741176470588229</v>
      </c>
      <c r="F1590" s="266">
        <f t="shared" si="394"/>
        <v>7</v>
      </c>
      <c r="G1590" s="266">
        <f t="shared" si="395"/>
        <v>2</v>
      </c>
      <c r="H1590" s="266">
        <f t="shared" si="396"/>
        <v>2</v>
      </c>
      <c r="I1590" s="312">
        <f t="shared" si="397"/>
        <v>1.39262</v>
      </c>
      <c r="J1590" s="312">
        <f t="shared" si="398"/>
        <v>1.5710000000000002</v>
      </c>
      <c r="K1590" s="312">
        <f t="shared" si="399"/>
        <v>2.028</v>
      </c>
      <c r="L1590" s="204">
        <f t="shared" si="400"/>
        <v>24.259440400000003</v>
      </c>
      <c r="M1590" s="204">
        <f t="shared" si="401"/>
        <v>27.366820000000004</v>
      </c>
      <c r="N1590" s="204">
        <f t="shared" si="402"/>
        <v>35.327760000000005</v>
      </c>
    </row>
    <row r="1591" spans="1:14" x14ac:dyDescent="0.25">
      <c r="A1591" s="271">
        <v>18</v>
      </c>
      <c r="B1591" s="272">
        <f>B114*'CO '!$G$1486</f>
        <v>45.741176470588229</v>
      </c>
      <c r="C1591" s="273">
        <f t="shared" si="393"/>
        <v>45.741176470588229</v>
      </c>
      <c r="D1591" s="273">
        <f t="shared" si="403"/>
        <v>45.741176470588229</v>
      </c>
      <c r="E1591" s="273">
        <f t="shared" si="404"/>
        <v>45.741176470588229</v>
      </c>
      <c r="F1591" s="266">
        <f t="shared" si="394"/>
        <v>7</v>
      </c>
      <c r="G1591" s="266">
        <f t="shared" si="395"/>
        <v>2</v>
      </c>
      <c r="H1591" s="266">
        <f t="shared" si="396"/>
        <v>2</v>
      </c>
      <c r="I1591" s="312">
        <f t="shared" si="397"/>
        <v>1.39262</v>
      </c>
      <c r="J1591" s="312">
        <f t="shared" si="398"/>
        <v>1.5710000000000002</v>
      </c>
      <c r="K1591" s="312">
        <f t="shared" si="399"/>
        <v>2.028</v>
      </c>
      <c r="L1591" s="204">
        <f t="shared" si="400"/>
        <v>24.259440400000003</v>
      </c>
      <c r="M1591" s="204">
        <f t="shared" si="401"/>
        <v>27.366820000000004</v>
      </c>
      <c r="N1591" s="204">
        <f t="shared" si="402"/>
        <v>35.327760000000005</v>
      </c>
    </row>
    <row r="1592" spans="1:14" x14ac:dyDescent="0.25">
      <c r="A1592" s="271">
        <v>19</v>
      </c>
      <c r="B1592" s="272">
        <f>B115*'CO '!$G$1486</f>
        <v>45.741176470588229</v>
      </c>
      <c r="C1592" s="273">
        <f t="shared" si="393"/>
        <v>45.741176470588229</v>
      </c>
      <c r="D1592" s="273">
        <f t="shared" si="403"/>
        <v>45.741176470588229</v>
      </c>
      <c r="E1592" s="273">
        <f t="shared" si="404"/>
        <v>45.741176470588229</v>
      </c>
      <c r="F1592" s="266">
        <f t="shared" si="394"/>
        <v>7</v>
      </c>
      <c r="G1592" s="266">
        <f t="shared" si="395"/>
        <v>2</v>
      </c>
      <c r="H1592" s="266">
        <f t="shared" si="396"/>
        <v>2</v>
      </c>
      <c r="I1592" s="312">
        <f t="shared" si="397"/>
        <v>1.39262</v>
      </c>
      <c r="J1592" s="312">
        <f t="shared" si="398"/>
        <v>1.5710000000000002</v>
      </c>
      <c r="K1592" s="312">
        <f t="shared" si="399"/>
        <v>2.028</v>
      </c>
      <c r="L1592" s="204">
        <f t="shared" si="400"/>
        <v>24.259440400000003</v>
      </c>
      <c r="M1592" s="204">
        <f t="shared" si="401"/>
        <v>27.366820000000004</v>
      </c>
      <c r="N1592" s="204">
        <f t="shared" si="402"/>
        <v>35.327760000000005</v>
      </c>
    </row>
    <row r="1593" spans="1:14" x14ac:dyDescent="0.25">
      <c r="A1593" s="271">
        <v>20</v>
      </c>
      <c r="B1593" s="272">
        <f>B116*'CO '!$G$1486</f>
        <v>45.741176470588229</v>
      </c>
      <c r="C1593" s="273">
        <f t="shared" si="393"/>
        <v>45.741176470588229</v>
      </c>
      <c r="D1593" s="273">
        <f t="shared" si="403"/>
        <v>45.741176470588229</v>
      </c>
      <c r="E1593" s="273">
        <f t="shared" si="404"/>
        <v>45.741176470588229</v>
      </c>
      <c r="F1593" s="266">
        <f t="shared" si="394"/>
        <v>7</v>
      </c>
      <c r="G1593" s="266">
        <f t="shared" si="395"/>
        <v>2</v>
      </c>
      <c r="H1593" s="266">
        <f t="shared" si="396"/>
        <v>2</v>
      </c>
      <c r="I1593" s="312">
        <f t="shared" si="397"/>
        <v>1.39262</v>
      </c>
      <c r="J1593" s="312">
        <f t="shared" si="398"/>
        <v>1.5710000000000002</v>
      </c>
      <c r="K1593" s="312">
        <f t="shared" si="399"/>
        <v>2.028</v>
      </c>
      <c r="L1593" s="204">
        <f t="shared" si="400"/>
        <v>24.259440400000003</v>
      </c>
      <c r="M1593" s="204">
        <f t="shared" si="401"/>
        <v>27.366820000000004</v>
      </c>
      <c r="N1593" s="204">
        <f t="shared" si="402"/>
        <v>35.327760000000005</v>
      </c>
    </row>
    <row r="1594" spans="1:14" x14ac:dyDescent="0.25">
      <c r="A1594" s="271">
        <v>21</v>
      </c>
      <c r="B1594" s="272">
        <f>B117*'CO '!$G$1486</f>
        <v>45.741176470588229</v>
      </c>
      <c r="C1594" s="273">
        <f t="shared" si="393"/>
        <v>45.741176470588229</v>
      </c>
      <c r="D1594" s="273">
        <f t="shared" si="403"/>
        <v>45.741176470588229</v>
      </c>
      <c r="E1594" s="273">
        <f t="shared" si="404"/>
        <v>45.741176470588229</v>
      </c>
      <c r="F1594" s="266">
        <f t="shared" si="394"/>
        <v>7</v>
      </c>
      <c r="G1594" s="266">
        <f t="shared" si="395"/>
        <v>2</v>
      </c>
      <c r="H1594" s="266">
        <f t="shared" si="396"/>
        <v>2</v>
      </c>
      <c r="I1594" s="312">
        <f t="shared" si="397"/>
        <v>1.39262</v>
      </c>
      <c r="J1594" s="312">
        <f t="shared" si="398"/>
        <v>1.5710000000000002</v>
      </c>
      <c r="K1594" s="312">
        <f t="shared" si="399"/>
        <v>2.028</v>
      </c>
      <c r="L1594" s="204">
        <f t="shared" si="400"/>
        <v>24.259440400000003</v>
      </c>
      <c r="M1594" s="204">
        <f t="shared" si="401"/>
        <v>27.366820000000004</v>
      </c>
      <c r="N1594" s="204">
        <f t="shared" si="402"/>
        <v>35.327760000000005</v>
      </c>
    </row>
    <row r="1595" spans="1:14" x14ac:dyDescent="0.25">
      <c r="A1595" s="271">
        <v>22</v>
      </c>
      <c r="B1595" s="272">
        <f>B118*'CO '!$G$1486</f>
        <v>45.741176470588229</v>
      </c>
      <c r="C1595" s="273">
        <f t="shared" si="393"/>
        <v>45.741176470588229</v>
      </c>
      <c r="D1595" s="273">
        <f t="shared" si="403"/>
        <v>45.741176470588229</v>
      </c>
      <c r="E1595" s="273">
        <f t="shared" si="404"/>
        <v>45.741176470588229</v>
      </c>
      <c r="F1595" s="266">
        <f t="shared" si="394"/>
        <v>7</v>
      </c>
      <c r="G1595" s="266">
        <f t="shared" si="395"/>
        <v>2</v>
      </c>
      <c r="H1595" s="266">
        <f t="shared" si="396"/>
        <v>2</v>
      </c>
      <c r="I1595" s="312">
        <f t="shared" si="397"/>
        <v>1.39262</v>
      </c>
      <c r="J1595" s="312">
        <f t="shared" si="398"/>
        <v>1.5710000000000002</v>
      </c>
      <c r="K1595" s="312">
        <f t="shared" si="399"/>
        <v>2.028</v>
      </c>
      <c r="L1595" s="204">
        <f t="shared" si="400"/>
        <v>24.259440400000003</v>
      </c>
      <c r="M1595" s="204">
        <f t="shared" si="401"/>
        <v>27.366820000000004</v>
      </c>
      <c r="N1595" s="204">
        <f t="shared" si="402"/>
        <v>35.327760000000005</v>
      </c>
    </row>
    <row r="1596" spans="1:14" x14ac:dyDescent="0.25">
      <c r="A1596" s="271">
        <v>23</v>
      </c>
      <c r="B1596" s="272">
        <f>B119*'CO '!$G$1486</f>
        <v>45.741176470588229</v>
      </c>
      <c r="C1596" s="273">
        <f t="shared" si="393"/>
        <v>45.741176470588229</v>
      </c>
      <c r="D1596" s="273">
        <f t="shared" si="403"/>
        <v>45.741176470588229</v>
      </c>
      <c r="E1596" s="273">
        <f t="shared" si="404"/>
        <v>45.741176470588229</v>
      </c>
      <c r="F1596" s="266">
        <f t="shared" si="394"/>
        <v>7</v>
      </c>
      <c r="G1596" s="266">
        <f t="shared" si="395"/>
        <v>2</v>
      </c>
      <c r="H1596" s="266">
        <f t="shared" si="396"/>
        <v>2</v>
      </c>
      <c r="I1596" s="312">
        <f t="shared" si="397"/>
        <v>1.39262</v>
      </c>
      <c r="J1596" s="312">
        <f t="shared" si="398"/>
        <v>1.5710000000000002</v>
      </c>
      <c r="K1596" s="312">
        <f t="shared" si="399"/>
        <v>2.028</v>
      </c>
      <c r="L1596" s="204">
        <f t="shared" si="400"/>
        <v>24.259440400000003</v>
      </c>
      <c r="M1596" s="204">
        <f t="shared" si="401"/>
        <v>27.366820000000004</v>
      </c>
      <c r="N1596" s="204">
        <f t="shared" si="402"/>
        <v>35.327760000000005</v>
      </c>
    </row>
    <row r="1597" spans="1:14" x14ac:dyDescent="0.25">
      <c r="A1597" s="271">
        <v>24</v>
      </c>
      <c r="B1597" s="272">
        <f>B120*'CO '!$G$1486</f>
        <v>45.741176470588229</v>
      </c>
      <c r="C1597" s="273">
        <f t="shared" si="393"/>
        <v>45.741176470588229</v>
      </c>
      <c r="D1597" s="273">
        <f t="shared" si="403"/>
        <v>45.741176470588229</v>
      </c>
      <c r="E1597" s="273">
        <f t="shared" si="404"/>
        <v>45.741176470588229</v>
      </c>
      <c r="F1597" s="266">
        <f t="shared" si="394"/>
        <v>7</v>
      </c>
      <c r="G1597" s="266">
        <f t="shared" si="395"/>
        <v>2</v>
      </c>
      <c r="H1597" s="266">
        <f t="shared" si="396"/>
        <v>2</v>
      </c>
      <c r="I1597" s="312">
        <f t="shared" si="397"/>
        <v>1.39262</v>
      </c>
      <c r="J1597" s="312">
        <f t="shared" si="398"/>
        <v>1.5710000000000002</v>
      </c>
      <c r="K1597" s="312">
        <f t="shared" si="399"/>
        <v>2.028</v>
      </c>
      <c r="L1597" s="204">
        <f t="shared" si="400"/>
        <v>24.259440400000003</v>
      </c>
      <c r="M1597" s="204">
        <f t="shared" si="401"/>
        <v>27.366820000000004</v>
      </c>
      <c r="N1597" s="204">
        <f t="shared" si="402"/>
        <v>35.327760000000005</v>
      </c>
    </row>
    <row r="1598" spans="1:14" x14ac:dyDescent="0.25">
      <c r="A1598" s="271">
        <v>25</v>
      </c>
      <c r="B1598" s="272">
        <f>B121*'CO '!$G$1486</f>
        <v>45.741176470588229</v>
      </c>
      <c r="C1598" s="273">
        <f t="shared" si="393"/>
        <v>45.741176470588229</v>
      </c>
      <c r="D1598" s="273">
        <f t="shared" si="403"/>
        <v>45.741176470588229</v>
      </c>
      <c r="E1598" s="273">
        <f t="shared" si="404"/>
        <v>45.741176470588229</v>
      </c>
      <c r="F1598" s="266">
        <f t="shared" si="394"/>
        <v>7</v>
      </c>
      <c r="G1598" s="266">
        <f t="shared" si="395"/>
        <v>2</v>
      </c>
      <c r="H1598" s="266">
        <f t="shared" si="396"/>
        <v>2</v>
      </c>
      <c r="I1598" s="312">
        <f t="shared" si="397"/>
        <v>1.39262</v>
      </c>
      <c r="J1598" s="312">
        <f t="shared" si="398"/>
        <v>1.5710000000000002</v>
      </c>
      <c r="K1598" s="312">
        <f t="shared" si="399"/>
        <v>2.028</v>
      </c>
      <c r="L1598" s="204">
        <f t="shared" si="400"/>
        <v>24.259440400000003</v>
      </c>
      <c r="M1598" s="204">
        <f t="shared" si="401"/>
        <v>27.366820000000004</v>
      </c>
      <c r="N1598" s="204">
        <f t="shared" si="402"/>
        <v>35.327760000000005</v>
      </c>
    </row>
    <row r="1599" spans="1:14" x14ac:dyDescent="0.25">
      <c r="A1599" s="271">
        <v>26</v>
      </c>
      <c r="B1599" s="272">
        <f>B122*'CO '!$G$1486</f>
        <v>45.741176470588229</v>
      </c>
      <c r="C1599" s="273">
        <f t="shared" si="393"/>
        <v>45.741176470588229</v>
      </c>
      <c r="D1599" s="273">
        <f t="shared" si="403"/>
        <v>45.741176470588229</v>
      </c>
      <c r="E1599" s="273">
        <f t="shared" si="404"/>
        <v>45.741176470588229</v>
      </c>
      <c r="F1599" s="266">
        <f t="shared" si="394"/>
        <v>7</v>
      </c>
      <c r="G1599" s="266">
        <f t="shared" si="395"/>
        <v>2</v>
      </c>
      <c r="H1599" s="266">
        <f t="shared" si="396"/>
        <v>2</v>
      </c>
      <c r="I1599" s="312">
        <f t="shared" si="397"/>
        <v>1.39262</v>
      </c>
      <c r="J1599" s="312">
        <f t="shared" si="398"/>
        <v>1.5710000000000002</v>
      </c>
      <c r="K1599" s="312">
        <f t="shared" si="399"/>
        <v>2.028</v>
      </c>
      <c r="L1599" s="204">
        <f t="shared" si="400"/>
        <v>24.259440400000003</v>
      </c>
      <c r="M1599" s="204">
        <f t="shared" si="401"/>
        <v>27.366820000000004</v>
      </c>
      <c r="N1599" s="204">
        <f t="shared" si="402"/>
        <v>35.327760000000005</v>
      </c>
    </row>
    <row r="1600" spans="1:14" x14ac:dyDescent="0.25">
      <c r="A1600" s="271">
        <v>27</v>
      </c>
      <c r="B1600" s="272">
        <f>B123*'CO '!$G$1486</f>
        <v>45.741176470588229</v>
      </c>
      <c r="C1600" s="273">
        <f t="shared" si="393"/>
        <v>45.741176470588229</v>
      </c>
      <c r="D1600" s="273">
        <f t="shared" si="403"/>
        <v>45.741176470588229</v>
      </c>
      <c r="E1600" s="273">
        <f t="shared" si="404"/>
        <v>45.741176470588229</v>
      </c>
      <c r="F1600" s="266">
        <f t="shared" si="394"/>
        <v>7</v>
      </c>
      <c r="G1600" s="266">
        <f t="shared" si="395"/>
        <v>2</v>
      </c>
      <c r="H1600" s="266">
        <f t="shared" si="396"/>
        <v>2</v>
      </c>
      <c r="I1600" s="312">
        <f t="shared" si="397"/>
        <v>1.39262</v>
      </c>
      <c r="J1600" s="312">
        <f t="shared" si="398"/>
        <v>1.5710000000000002</v>
      </c>
      <c r="K1600" s="312">
        <f t="shared" si="399"/>
        <v>2.028</v>
      </c>
      <c r="L1600" s="204">
        <f t="shared" si="400"/>
        <v>24.259440400000003</v>
      </c>
      <c r="M1600" s="204">
        <f t="shared" si="401"/>
        <v>27.366820000000004</v>
      </c>
      <c r="N1600" s="204">
        <f t="shared" si="402"/>
        <v>35.327760000000005</v>
      </c>
    </row>
    <row r="1601" spans="1:15" x14ac:dyDescent="0.25">
      <c r="A1601" s="271">
        <v>28</v>
      </c>
      <c r="B1601" s="272">
        <f>B124*'CO '!$G$1486</f>
        <v>45.741176470588229</v>
      </c>
      <c r="C1601" s="273">
        <f t="shared" si="393"/>
        <v>45.741176470588229</v>
      </c>
      <c r="D1601" s="273">
        <f t="shared" si="403"/>
        <v>45.741176470588229</v>
      </c>
      <c r="E1601" s="273">
        <f t="shared" si="404"/>
        <v>45.741176470588229</v>
      </c>
      <c r="F1601" s="266">
        <f t="shared" si="394"/>
        <v>7</v>
      </c>
      <c r="G1601" s="266">
        <f t="shared" si="395"/>
        <v>2</v>
      </c>
      <c r="H1601" s="266">
        <f t="shared" si="396"/>
        <v>2</v>
      </c>
      <c r="I1601" s="312">
        <f t="shared" si="397"/>
        <v>1.39262</v>
      </c>
      <c r="J1601" s="312">
        <f t="shared" si="398"/>
        <v>1.5710000000000002</v>
      </c>
      <c r="K1601" s="312">
        <f t="shared" si="399"/>
        <v>2.028</v>
      </c>
      <c r="L1601" s="204">
        <f t="shared" si="400"/>
        <v>24.259440400000003</v>
      </c>
      <c r="M1601" s="204">
        <f t="shared" si="401"/>
        <v>27.366820000000004</v>
      </c>
      <c r="N1601" s="204">
        <f t="shared" si="402"/>
        <v>35.327760000000005</v>
      </c>
    </row>
    <row r="1602" spans="1:15" x14ac:dyDescent="0.25">
      <c r="A1602" s="271">
        <v>29</v>
      </c>
      <c r="B1602" s="272">
        <f>B125*'CO '!$G$1486</f>
        <v>45.741176470588229</v>
      </c>
      <c r="C1602" s="273">
        <f t="shared" si="393"/>
        <v>45.741176470588229</v>
      </c>
      <c r="D1602" s="273">
        <f t="shared" si="403"/>
        <v>45.741176470588229</v>
      </c>
      <c r="E1602" s="273">
        <f t="shared" si="404"/>
        <v>45.741176470588229</v>
      </c>
      <c r="F1602" s="266">
        <f t="shared" si="394"/>
        <v>7</v>
      </c>
      <c r="G1602" s="266">
        <f t="shared" si="395"/>
        <v>2</v>
      </c>
      <c r="H1602" s="266">
        <f t="shared" si="396"/>
        <v>2</v>
      </c>
      <c r="I1602" s="312">
        <f t="shared" si="397"/>
        <v>1.39262</v>
      </c>
      <c r="J1602" s="312">
        <f t="shared" si="398"/>
        <v>1.5710000000000002</v>
      </c>
      <c r="K1602" s="312">
        <f t="shared" si="399"/>
        <v>2.028</v>
      </c>
      <c r="L1602" s="204">
        <f t="shared" si="400"/>
        <v>24.259440400000003</v>
      </c>
      <c r="M1602" s="204">
        <f t="shared" si="401"/>
        <v>27.366820000000004</v>
      </c>
      <c r="N1602" s="204">
        <f t="shared" si="402"/>
        <v>35.327760000000005</v>
      </c>
    </row>
    <row r="1603" spans="1:15" x14ac:dyDescent="0.25">
      <c r="A1603" s="271">
        <v>30</v>
      </c>
      <c r="B1603" s="272">
        <f>B126*'CO '!$G$1486</f>
        <v>45.741176470588229</v>
      </c>
      <c r="C1603" s="273">
        <f t="shared" si="393"/>
        <v>45.741176470588229</v>
      </c>
      <c r="D1603" s="273">
        <f t="shared" si="403"/>
        <v>45.741176470588229</v>
      </c>
      <c r="E1603" s="273">
        <f t="shared" si="404"/>
        <v>45.741176470588229</v>
      </c>
      <c r="F1603" s="266">
        <f t="shared" si="394"/>
        <v>7</v>
      </c>
      <c r="G1603" s="266">
        <f t="shared" si="395"/>
        <v>2</v>
      </c>
      <c r="H1603" s="266">
        <f t="shared" si="396"/>
        <v>2</v>
      </c>
      <c r="I1603" s="312">
        <f t="shared" si="397"/>
        <v>1.39262</v>
      </c>
      <c r="J1603" s="312">
        <f t="shared" si="398"/>
        <v>1.5710000000000002</v>
      </c>
      <c r="K1603" s="312">
        <f t="shared" si="399"/>
        <v>2.028</v>
      </c>
      <c r="L1603" s="204">
        <f t="shared" si="400"/>
        <v>24.259440400000003</v>
      </c>
      <c r="M1603" s="204">
        <f t="shared" si="401"/>
        <v>27.366820000000004</v>
      </c>
      <c r="N1603" s="204">
        <f t="shared" si="402"/>
        <v>35.327760000000005</v>
      </c>
    </row>
    <row r="1604" spans="1:15" x14ac:dyDescent="0.25">
      <c r="A1604" s="271">
        <v>31</v>
      </c>
      <c r="B1604" s="272">
        <f>B127*'CO '!$G$1486</f>
        <v>45.741176470588229</v>
      </c>
      <c r="C1604" s="273">
        <f t="shared" si="393"/>
        <v>45.741176470588229</v>
      </c>
      <c r="D1604" s="273">
        <f>C1604</f>
        <v>45.741176470588229</v>
      </c>
      <c r="E1604" s="273">
        <f>D1604</f>
        <v>45.741176470588229</v>
      </c>
      <c r="F1604" s="266">
        <f>IF(C1604&gt;$B$1479,2,IF(C1604&gt;$B$1480,3,IF(C1604&gt;$B$1481,4,IF(C1604&gt;$B$1482,5,IF(C1604&gt;$B$1483,6,IF(C1604&gt;$B$1484,7,IF(C1604&gt;$B$1485,8,IF(C1604&gt;$B$1486,9,IF(C1604&gt;$B$1487,10,IF(C1604&gt;$B$1488,11,IF(C1604&gt;$B$1489,12,12)))))))))))</f>
        <v>7</v>
      </c>
      <c r="G1604" s="266">
        <f>IF(D1604&gt;$C$1479,2,IF(D1604&gt;$C$1480,3,IF(D1604&gt;$C$1481,4,IF(D1604&gt;$C$1482,5,IF(D1604&gt;$C$1483,6,IF(D1604&gt;$C$1484,7,IF(D1604&gt;$C$1485,8,IF(D1604&gt;$C$1486,9,IF(D1604&gt;$C$1487,10,IF(D1604&gt;$C$1488,11,IF(D1604&gt;$C$1489,12,12)))))))))))</f>
        <v>2</v>
      </c>
      <c r="H1604" s="266">
        <f>IF(E1604&gt;$D$1479,2,IF(E1604&gt;$D$1480,3,IF(E1604&gt;$D$1481,4,IF(E1604&gt;$D$1482,5,IF(E1604&gt;$D$1483,6,IF(E1604&gt;$D$1484,7,IF(E1604&gt;$D$1485,8,IF(E1604&gt;$D$1486,9,IF(E1604&gt;$D$1487,10,IF(E1604&gt;$D$1488,11,IF(E1604&gt;$D$1489,12,12)))))))))))</f>
        <v>2</v>
      </c>
      <c r="I1604" s="312">
        <f>0.00009*(F1604)^3-0.00125*(F1604)^2+0.05*(F1604)+1.073</f>
        <v>1.39262</v>
      </c>
      <c r="J1604" s="312">
        <f>-0.00005*(G1604)^3+0.0011*(G1604)^2+0.042*(G1604)+1.483</f>
        <v>1.5710000000000002</v>
      </c>
      <c r="K1604" s="312">
        <f>0*(H1604)^3+0*(H1604)^2+0.049*(H1604)+1.93</f>
        <v>2.028</v>
      </c>
      <c r="L1604" s="204">
        <f t="shared" ref="L1604:N1605" si="405">I1604*$B$1494</f>
        <v>24.259440400000003</v>
      </c>
      <c r="M1604" s="204">
        <f t="shared" si="405"/>
        <v>27.366820000000004</v>
      </c>
      <c r="N1604" s="204">
        <f t="shared" si="405"/>
        <v>35.327760000000005</v>
      </c>
    </row>
    <row r="1605" spans="1:15" x14ac:dyDescent="0.25">
      <c r="A1605" s="271">
        <v>32</v>
      </c>
      <c r="B1605" s="272">
        <f>B128*'CO '!$G$1486</f>
        <v>45.741176470588229</v>
      </c>
      <c r="C1605" s="273">
        <f t="shared" si="393"/>
        <v>45.741176470588229</v>
      </c>
      <c r="D1605" s="273">
        <f>C1605</f>
        <v>45.741176470588229</v>
      </c>
      <c r="E1605" s="273">
        <f>D1605</f>
        <v>45.741176470588229</v>
      </c>
      <c r="F1605" s="266">
        <f>IF(C1605&gt;$B$1479,2,IF(C1605&gt;$B$1480,3,IF(C1605&gt;$B$1481,4,IF(C1605&gt;$B$1482,5,IF(C1605&gt;$B$1483,6,IF(C1605&gt;$B$1484,7,IF(C1605&gt;$B$1485,8,IF(C1605&gt;$B$1486,9,IF(C1605&gt;$B$1487,10,IF(C1605&gt;$B$1488,11,IF(C1605&gt;$B$1489,12,12)))))))))))</f>
        <v>7</v>
      </c>
      <c r="G1605" s="266">
        <f>IF(D1605&gt;$C$1479,2,IF(D1605&gt;$C$1480,3,IF(D1605&gt;$C$1481,4,IF(D1605&gt;$C$1482,5,IF(D1605&gt;$C$1483,6,IF(D1605&gt;$C$1484,7,IF(D1605&gt;$C$1485,8,IF(D1605&gt;$C$1486,9,IF(D1605&gt;$C$1487,10,IF(D1605&gt;$C$1488,11,IF(D1605&gt;$C$1489,12,12)))))))))))</f>
        <v>2</v>
      </c>
      <c r="H1605" s="266">
        <f>IF(E1605&gt;$D$1479,2,IF(E1605&gt;$D$1480,3,IF(E1605&gt;$D$1481,4,IF(E1605&gt;$D$1482,5,IF(E1605&gt;$D$1483,6,IF(E1605&gt;$D$1484,7,IF(E1605&gt;$D$1485,8,IF(E1605&gt;$D$1486,9,IF(E1605&gt;$D$1487,10,IF(E1605&gt;$D$1488,11,IF(E1605&gt;$D$1489,12,12)))))))))))</f>
        <v>2</v>
      </c>
      <c r="I1605" s="312">
        <f>0.00009*(F1605)^3-0.00125*(F1605)^2+0.05*(F1605)+1.073</f>
        <v>1.39262</v>
      </c>
      <c r="J1605" s="312">
        <f>-0.00005*(G1605)^3+0.0011*(G1605)^2+0.042*(G1605)+1.483</f>
        <v>1.5710000000000002</v>
      </c>
      <c r="K1605" s="312">
        <f>0*(H1605)^3+0*(H1605)^2+0.049*(H1605)+1.93</f>
        <v>2.028</v>
      </c>
      <c r="L1605" s="204">
        <f t="shared" si="405"/>
        <v>24.259440400000003</v>
      </c>
      <c r="M1605" s="204">
        <f t="shared" si="405"/>
        <v>27.366820000000004</v>
      </c>
      <c r="N1605" s="204">
        <f t="shared" si="405"/>
        <v>35.327760000000005</v>
      </c>
    </row>
    <row r="1606" spans="1:15" x14ac:dyDescent="0.25">
      <c r="A1606" s="239" t="s">
        <v>297</v>
      </c>
      <c r="B1606" s="239"/>
      <c r="C1606" s="239"/>
      <c r="D1606" s="239"/>
      <c r="E1606" s="239"/>
      <c r="F1606" s="239"/>
      <c r="G1606" s="19"/>
      <c r="I1606" s="239" t="s">
        <v>299</v>
      </c>
      <c r="J1606" s="239"/>
      <c r="K1606" s="239"/>
      <c r="L1606" s="239"/>
      <c r="M1606" s="239"/>
      <c r="N1606" s="239"/>
      <c r="O1606" s="19"/>
    </row>
    <row r="1607" spans="1:15" x14ac:dyDescent="0.25">
      <c r="A1607" t="s">
        <v>243</v>
      </c>
      <c r="F1607" s="239" t="s">
        <v>247</v>
      </c>
      <c r="G1607" s="239">
        <f>'DATOS DE ENTRADA'!$C$7</f>
        <v>70</v>
      </c>
      <c r="I1607" t="s">
        <v>243</v>
      </c>
      <c r="N1607" s="239" t="s">
        <v>247</v>
      </c>
      <c r="O1607" s="239">
        <f>'DATOS DE ENTRADA'!$C$23</f>
        <v>70</v>
      </c>
    </row>
    <row r="1608" spans="1:15" x14ac:dyDescent="0.25">
      <c r="C1608" s="569" t="s">
        <v>246</v>
      </c>
      <c r="D1608" s="569"/>
      <c r="E1608" s="569"/>
      <c r="K1608" s="569" t="s">
        <v>246</v>
      </c>
      <c r="L1608" s="569"/>
      <c r="M1608" s="569"/>
    </row>
    <row r="1609" spans="1:15" x14ac:dyDescent="0.25">
      <c r="A1609" s="43" t="s">
        <v>18</v>
      </c>
      <c r="B1609" s="43" t="s">
        <v>298</v>
      </c>
      <c r="C1609" s="298" t="s">
        <v>233</v>
      </c>
      <c r="D1609" s="298" t="s">
        <v>234</v>
      </c>
      <c r="E1609" s="298" t="s">
        <v>235</v>
      </c>
      <c r="I1609" s="43" t="s">
        <v>18</v>
      </c>
      <c r="J1609" s="43" t="s">
        <v>298</v>
      </c>
      <c r="K1609" s="298" t="s">
        <v>233</v>
      </c>
      <c r="L1609" s="298" t="s">
        <v>234</v>
      </c>
      <c r="M1609" s="298" t="s">
        <v>235</v>
      </c>
    </row>
    <row r="1610" spans="1:15" x14ac:dyDescent="0.25">
      <c r="A1610" s="43">
        <v>0</v>
      </c>
      <c r="B1610" s="200">
        <f>'N CARRILES HCM'!I3</f>
        <v>128.25</v>
      </c>
      <c r="C1610" s="95">
        <f t="shared" ref="C1610:C1642" si="406">B1610*L1497*$G$625*365</f>
        <v>69307383.530385017</v>
      </c>
      <c r="D1610" s="95">
        <f t="shared" ref="D1610:D1642" si="407">B1610*M1497*$G$625*365</f>
        <v>89675253.690750003</v>
      </c>
      <c r="E1610" s="95">
        <f t="shared" ref="E1610:E1642" si="408">B1610*N1497*$G$625*365</f>
        <v>115761562.37100002</v>
      </c>
      <c r="I1610" s="43">
        <v>0</v>
      </c>
      <c r="J1610" s="200">
        <f>'N CARRILES HCM'!I40</f>
        <v>128.25</v>
      </c>
      <c r="K1610" s="95">
        <f t="shared" ref="K1610:K1642" si="409">J1610*L1535*365*$O$381</f>
        <v>66712452.255540006</v>
      </c>
      <c r="L1610" s="95">
        <f t="shared" ref="L1610:L1642" si="410">J1610*M1535*365*$O$381</f>
        <v>89675253.690750003</v>
      </c>
      <c r="M1610" s="95">
        <f t="shared" ref="M1610:M1642" si="411">J1610*N1535*365*$O$381</f>
        <v>115761562.37100001</v>
      </c>
    </row>
    <row r="1611" spans="1:15" x14ac:dyDescent="0.25">
      <c r="A1611" s="43">
        <v>1</v>
      </c>
      <c r="B1611" s="200">
        <f>'N CARRILES HCM'!I4</f>
        <v>132.0975</v>
      </c>
      <c r="C1611" s="95">
        <f t="shared" si="406"/>
        <v>71386605.036296561</v>
      </c>
      <c r="D1611" s="95">
        <f t="shared" si="407"/>
        <v>92365511.301472515</v>
      </c>
      <c r="E1611" s="95">
        <f t="shared" si="408"/>
        <v>119234409.24213001</v>
      </c>
      <c r="I1611" s="43">
        <v>1</v>
      </c>
      <c r="J1611" s="200">
        <f>'N CARRILES HCM'!I41</f>
        <v>132.0975</v>
      </c>
      <c r="K1611" s="95">
        <f t="shared" si="409"/>
        <v>68713825.823206201</v>
      </c>
      <c r="L1611" s="95">
        <f t="shared" si="410"/>
        <v>92365511.301472515</v>
      </c>
      <c r="M1611" s="95">
        <f t="shared" si="411"/>
        <v>119234409.24213001</v>
      </c>
    </row>
    <row r="1612" spans="1:15" x14ac:dyDescent="0.25">
      <c r="A1612" s="43">
        <v>2</v>
      </c>
      <c r="B1612" s="200">
        <f>'N CARRILES HCM'!I5</f>
        <v>136.06042499999998</v>
      </c>
      <c r="C1612" s="95">
        <f t="shared" si="406"/>
        <v>73528203.187385455</v>
      </c>
      <c r="D1612" s="95">
        <f t="shared" si="407"/>
        <v>95136476.640516669</v>
      </c>
      <c r="E1612" s="95">
        <f t="shared" si="408"/>
        <v>122811441.51939389</v>
      </c>
      <c r="I1612" s="43">
        <v>2</v>
      </c>
      <c r="J1612" s="200">
        <f>'N CARRILES HCM'!I42</f>
        <v>136.06042499999998</v>
      </c>
      <c r="K1612" s="95">
        <f t="shared" si="409"/>
        <v>70775240.597902372</v>
      </c>
      <c r="L1612" s="95">
        <f t="shared" si="410"/>
        <v>95136476.640516669</v>
      </c>
      <c r="M1612" s="95">
        <f t="shared" si="411"/>
        <v>122811441.51939389</v>
      </c>
    </row>
    <row r="1613" spans="1:15" x14ac:dyDescent="0.25">
      <c r="A1613" s="43">
        <v>3</v>
      </c>
      <c r="B1613" s="200">
        <f>'N CARRILES HCM'!I6</f>
        <v>140.14223774999999</v>
      </c>
      <c r="C1613" s="95">
        <f t="shared" si="406"/>
        <v>75734049.283007026</v>
      </c>
      <c r="D1613" s="95">
        <f t="shared" si="407"/>
        <v>97990570.939732179</v>
      </c>
      <c r="E1613" s="95">
        <f t="shared" si="408"/>
        <v>126495784.76497571</v>
      </c>
      <c r="I1613" s="43">
        <v>3</v>
      </c>
      <c r="J1613" s="200">
        <f>'N CARRILES HCM'!I43</f>
        <v>140.14223774999999</v>
      </c>
      <c r="K1613" s="95">
        <f t="shared" si="409"/>
        <v>72898497.815839455</v>
      </c>
      <c r="L1613" s="95">
        <f t="shared" si="410"/>
        <v>97990570.939732179</v>
      </c>
      <c r="M1613" s="95">
        <f t="shared" si="411"/>
        <v>126495784.76497573</v>
      </c>
    </row>
    <row r="1614" spans="1:15" x14ac:dyDescent="0.25">
      <c r="A1614" s="43">
        <v>4</v>
      </c>
      <c r="B1614" s="200">
        <f>'N CARRILES HCM'!I7</f>
        <v>144.3465048825</v>
      </c>
      <c r="C1614" s="95">
        <f t="shared" si="406"/>
        <v>78006070.761497244</v>
      </c>
      <c r="D1614" s="95">
        <f t="shared" si="407"/>
        <v>100930288.06792416</v>
      </c>
      <c r="E1614" s="95">
        <f t="shared" si="408"/>
        <v>130290658.307925</v>
      </c>
      <c r="I1614" s="43">
        <v>4</v>
      </c>
      <c r="J1614" s="200">
        <f>'N CARRILES HCM'!I44</f>
        <v>144.3465048825</v>
      </c>
      <c r="K1614" s="95">
        <f t="shared" si="409"/>
        <v>75085452.750314653</v>
      </c>
      <c r="L1614" s="95">
        <f t="shared" si="410"/>
        <v>100930288.06792417</v>
      </c>
      <c r="M1614" s="95">
        <f t="shared" si="411"/>
        <v>130290658.307925</v>
      </c>
    </row>
    <row r="1615" spans="1:15" x14ac:dyDescent="0.25">
      <c r="A1615" s="43">
        <v>5</v>
      </c>
      <c r="B1615" s="200">
        <f>'N CARRILES HCM'!I8</f>
        <v>148.67690002897498</v>
      </c>
      <c r="C1615" s="95">
        <f t="shared" si="406"/>
        <v>80346252.884342149</v>
      </c>
      <c r="D1615" s="95">
        <f t="shared" si="407"/>
        <v>103958196.70996186</v>
      </c>
      <c r="E1615" s="95">
        <f t="shared" si="408"/>
        <v>134199378.05716275</v>
      </c>
      <c r="I1615" s="43">
        <v>5</v>
      </c>
      <c r="J1615" s="200">
        <f>'N CARRILES HCM'!I45</f>
        <v>148.67690002897498</v>
      </c>
      <c r="K1615" s="95">
        <f t="shared" si="409"/>
        <v>77338016.332824066</v>
      </c>
      <c r="L1615" s="95">
        <f t="shared" si="410"/>
        <v>103958196.70996186</v>
      </c>
      <c r="M1615" s="95">
        <f t="shared" si="411"/>
        <v>134199378.05716275</v>
      </c>
    </row>
    <row r="1616" spans="1:15" x14ac:dyDescent="0.25">
      <c r="A1616" s="43">
        <v>6</v>
      </c>
      <c r="B1616" s="200">
        <f>'N CARRILES HCM'!I9</f>
        <v>153.13720702984423</v>
      </c>
      <c r="C1616" s="95">
        <f t="shared" si="406"/>
        <v>82756640.470872402</v>
      </c>
      <c r="D1616" s="95">
        <f t="shared" si="407"/>
        <v>107076942.61126073</v>
      </c>
      <c r="E1616" s="95">
        <f t="shared" si="408"/>
        <v>138225359.39887762</v>
      </c>
      <c r="I1616" s="43">
        <v>6</v>
      </c>
      <c r="J1616" s="200">
        <f>'N CARRILES HCM'!I46</f>
        <v>153.13720702984423</v>
      </c>
      <c r="K1616" s="95">
        <f t="shared" si="409"/>
        <v>79658156.822808802</v>
      </c>
      <c r="L1616" s="95">
        <f t="shared" si="410"/>
        <v>107076942.61126071</v>
      </c>
      <c r="M1616" s="95">
        <f t="shared" si="411"/>
        <v>138225359.39887762</v>
      </c>
    </row>
    <row r="1617" spans="1:13" x14ac:dyDescent="0.25">
      <c r="A1617" s="43">
        <v>7</v>
      </c>
      <c r="B1617" s="200">
        <f>'N CARRILES HCM'!I10</f>
        <v>157.73132324073958</v>
      </c>
      <c r="C1617" s="95">
        <f t="shared" si="406"/>
        <v>85239339.684998602</v>
      </c>
      <c r="D1617" s="95">
        <f t="shared" si="407"/>
        <v>110289250.88959856</v>
      </c>
      <c r="E1617" s="95">
        <f t="shared" si="408"/>
        <v>142372120.18084395</v>
      </c>
      <c r="I1617" s="43">
        <v>7</v>
      </c>
      <c r="J1617" s="200">
        <f>'N CARRILES HCM'!I47</f>
        <v>157.73132324073958</v>
      </c>
      <c r="K1617" s="95">
        <f t="shared" si="409"/>
        <v>82047901.527493075</v>
      </c>
      <c r="L1617" s="95">
        <f t="shared" si="410"/>
        <v>110289250.88959856</v>
      </c>
      <c r="M1617" s="95">
        <f t="shared" si="411"/>
        <v>142372120.18084395</v>
      </c>
    </row>
    <row r="1618" spans="1:13" x14ac:dyDescent="0.25">
      <c r="A1618" s="43">
        <v>8</v>
      </c>
      <c r="B1618" s="200">
        <f>'N CARRILES HCM'!I11</f>
        <v>162.46326293796173</v>
      </c>
      <c r="C1618" s="95">
        <f t="shared" si="406"/>
        <v>87796519.875548527</v>
      </c>
      <c r="D1618" s="95">
        <f t="shared" si="407"/>
        <v>113597928.4162865</v>
      </c>
      <c r="E1618" s="95">
        <f t="shared" si="408"/>
        <v>146643283.78626928</v>
      </c>
      <c r="I1618" s="43">
        <v>8</v>
      </c>
      <c r="J1618" s="200">
        <f>'N CARRILES HCM'!I48</f>
        <v>162.46326293796173</v>
      </c>
      <c r="K1618" s="95">
        <f t="shared" si="409"/>
        <v>84509338.573317841</v>
      </c>
      <c r="L1618" s="95">
        <f t="shared" si="410"/>
        <v>113597928.41628648</v>
      </c>
      <c r="M1618" s="95">
        <f t="shared" si="411"/>
        <v>146643283.78626925</v>
      </c>
    </row>
    <row r="1619" spans="1:13" x14ac:dyDescent="0.25">
      <c r="A1619" s="43">
        <v>9</v>
      </c>
      <c r="B1619" s="200">
        <f>'N CARRILES HCM'!I12</f>
        <v>167.33716082610061</v>
      </c>
      <c r="C1619" s="95">
        <f t="shared" si="406"/>
        <v>90430415.471815005</v>
      </c>
      <c r="D1619" s="95">
        <f t="shared" si="407"/>
        <v>117005866.26877512</v>
      </c>
      <c r="E1619" s="95">
        <f t="shared" si="408"/>
        <v>151042582.29985738</v>
      </c>
      <c r="I1619" s="43">
        <v>9</v>
      </c>
      <c r="J1619" s="200">
        <f>'N CARRILES HCM'!I49</f>
        <v>167.33716082610061</v>
      </c>
      <c r="K1619" s="95">
        <f t="shared" si="409"/>
        <v>87044618.730517402</v>
      </c>
      <c r="L1619" s="95">
        <f t="shared" si="410"/>
        <v>117005866.26877512</v>
      </c>
      <c r="M1619" s="95">
        <f t="shared" si="411"/>
        <v>151042582.29985738</v>
      </c>
    </row>
    <row r="1620" spans="1:13" x14ac:dyDescent="0.25">
      <c r="A1620" s="43">
        <v>10</v>
      </c>
      <c r="B1620" s="200">
        <f>'N CARRILES HCM'!I13</f>
        <v>172.35727565088362</v>
      </c>
      <c r="C1620" s="95">
        <f t="shared" si="406"/>
        <v>93143327.935969442</v>
      </c>
      <c r="D1620" s="95">
        <f t="shared" si="407"/>
        <v>120516042.25683835</v>
      </c>
      <c r="E1620" s="95">
        <f t="shared" si="408"/>
        <v>155573859.76885307</v>
      </c>
      <c r="I1620" s="43">
        <v>10</v>
      </c>
      <c r="J1620" s="200">
        <f>'N CARRILES HCM'!I50</f>
        <v>172.35727565088362</v>
      </c>
      <c r="K1620" s="95">
        <f t="shared" si="409"/>
        <v>89655957.292432904</v>
      </c>
      <c r="L1620" s="95">
        <f t="shared" si="410"/>
        <v>120516042.25683835</v>
      </c>
      <c r="M1620" s="95">
        <f t="shared" si="411"/>
        <v>155573859.76885307</v>
      </c>
    </row>
    <row r="1621" spans="1:13" x14ac:dyDescent="0.25">
      <c r="A1621" s="43">
        <v>11</v>
      </c>
      <c r="B1621" s="200">
        <f>'N CARRILES HCM'!I14</f>
        <v>177.52799392041013</v>
      </c>
      <c r="C1621" s="95">
        <f t="shared" si="406"/>
        <v>95937627.774048537</v>
      </c>
      <c r="D1621" s="95">
        <f t="shared" si="407"/>
        <v>124131523.52454349</v>
      </c>
      <c r="E1621" s="95">
        <f t="shared" si="408"/>
        <v>160241075.56191868</v>
      </c>
      <c r="I1621" s="43">
        <v>11</v>
      </c>
      <c r="J1621" s="200">
        <f>'N CARRILES HCM'!I51</f>
        <v>177.52799392041013</v>
      </c>
      <c r="K1621" s="95">
        <f t="shared" si="409"/>
        <v>92345636.011205882</v>
      </c>
      <c r="L1621" s="95">
        <f t="shared" si="410"/>
        <v>124131523.52454348</v>
      </c>
      <c r="M1621" s="95">
        <f t="shared" si="411"/>
        <v>160241075.56191868</v>
      </c>
    </row>
    <row r="1622" spans="1:13" x14ac:dyDescent="0.25">
      <c r="A1622" s="43">
        <v>12</v>
      </c>
      <c r="B1622" s="200">
        <f>'N CARRILES HCM'!I15</f>
        <v>182.85383373802242</v>
      </c>
      <c r="C1622" s="95">
        <f t="shared" si="406"/>
        <v>98815756.607269973</v>
      </c>
      <c r="D1622" s="95">
        <f t="shared" si="407"/>
        <v>127855469.2302798</v>
      </c>
      <c r="E1622" s="95">
        <f t="shared" si="408"/>
        <v>165048307.82877621</v>
      </c>
      <c r="I1622" s="43">
        <v>12</v>
      </c>
      <c r="J1622" s="200">
        <f>'N CARRILES HCM'!I52</f>
        <v>182.85383373802242</v>
      </c>
      <c r="K1622" s="95">
        <f t="shared" si="409"/>
        <v>95116005.091542065</v>
      </c>
      <c r="L1622" s="95">
        <f t="shared" si="410"/>
        <v>127855469.2302798</v>
      </c>
      <c r="M1622" s="95">
        <f t="shared" si="411"/>
        <v>165048307.82877621</v>
      </c>
    </row>
    <row r="1623" spans="1:13" x14ac:dyDescent="0.25">
      <c r="A1623" s="43">
        <v>13</v>
      </c>
      <c r="B1623" s="200">
        <f>'N CARRILES HCM'!I16</f>
        <v>188.33944875016309</v>
      </c>
      <c r="C1623" s="95">
        <f t="shared" si="406"/>
        <v>101780229.30548808</v>
      </c>
      <c r="D1623" s="95">
        <f t="shared" si="407"/>
        <v>131691133.30718818</v>
      </c>
      <c r="E1623" s="95">
        <f t="shared" si="408"/>
        <v>169999757.06363952</v>
      </c>
      <c r="I1623" s="43">
        <v>13</v>
      </c>
      <c r="J1623" s="200">
        <f>'N CARRILES HCM'!I53</f>
        <v>188.33944875016309</v>
      </c>
      <c r="K1623" s="95">
        <f t="shared" si="409"/>
        <v>97969485.244288325</v>
      </c>
      <c r="L1623" s="95">
        <f t="shared" si="410"/>
        <v>131691133.30718818</v>
      </c>
      <c r="M1623" s="95">
        <f t="shared" si="411"/>
        <v>169999757.06363952</v>
      </c>
    </row>
    <row r="1624" spans="1:13" x14ac:dyDescent="0.25">
      <c r="A1624" s="43">
        <v>14</v>
      </c>
      <c r="B1624" s="200">
        <f>'N CARRILES HCM'!I17</f>
        <v>193.989632212668</v>
      </c>
      <c r="C1624" s="95">
        <f t="shared" si="406"/>
        <v>112502452.64178497</v>
      </c>
      <c r="D1624" s="95">
        <f t="shared" si="407"/>
        <v>135641867.30640385</v>
      </c>
      <c r="E1624" s="95">
        <f t="shared" si="408"/>
        <v>175099749.7755487</v>
      </c>
      <c r="I1624" s="43">
        <v>14</v>
      </c>
      <c r="J1624" s="200">
        <f>'N CARRILES HCM'!I54</f>
        <v>193.989632212668</v>
      </c>
      <c r="K1624" s="95">
        <f t="shared" si="409"/>
        <v>100908569.801617</v>
      </c>
      <c r="L1624" s="95">
        <f t="shared" si="410"/>
        <v>135641867.30640385</v>
      </c>
      <c r="M1624" s="95">
        <f t="shared" si="411"/>
        <v>175099749.7755487</v>
      </c>
    </row>
    <row r="1625" spans="1:13" x14ac:dyDescent="0.25">
      <c r="A1625" s="43">
        <v>15</v>
      </c>
      <c r="B1625" s="200">
        <f>'N CARRILES HCM'!I18</f>
        <v>199.80932117904803</v>
      </c>
      <c r="C1625" s="95">
        <f t="shared" si="406"/>
        <v>115877526.22103854</v>
      </c>
      <c r="D1625" s="95">
        <f t="shared" si="407"/>
        <v>139711123.32559595</v>
      </c>
      <c r="E1625" s="95">
        <f t="shared" si="408"/>
        <v>180352742.26881513</v>
      </c>
      <c r="I1625" s="43">
        <v>15</v>
      </c>
      <c r="J1625" s="200">
        <f>'N CARRILES HCM'!I55</f>
        <v>199.80932117904803</v>
      </c>
      <c r="K1625" s="95">
        <f t="shared" si="409"/>
        <v>103935826.8956655</v>
      </c>
      <c r="L1625" s="95">
        <f t="shared" si="410"/>
        <v>139711123.32559595</v>
      </c>
      <c r="M1625" s="95">
        <f t="shared" si="411"/>
        <v>180352742.26881516</v>
      </c>
    </row>
    <row r="1626" spans="1:13" x14ac:dyDescent="0.25">
      <c r="A1626" s="43">
        <v>16</v>
      </c>
      <c r="B1626" s="200">
        <f>'N CARRILES HCM'!I19</f>
        <v>205.80360081441944</v>
      </c>
      <c r="C1626" s="95">
        <f t="shared" si="406"/>
        <v>119353852.00766964</v>
      </c>
      <c r="D1626" s="95">
        <f t="shared" si="407"/>
        <v>143902457.02536383</v>
      </c>
      <c r="E1626" s="95">
        <f t="shared" si="408"/>
        <v>185763324.53687957</v>
      </c>
      <c r="I1626" s="43">
        <v>16</v>
      </c>
      <c r="J1626" s="200">
        <f>'N CARRILES HCM'!I56</f>
        <v>205.80360081441944</v>
      </c>
      <c r="K1626" s="95">
        <f t="shared" si="409"/>
        <v>107053901.70253545</v>
      </c>
      <c r="L1626" s="95">
        <f t="shared" si="410"/>
        <v>143902457.0253638</v>
      </c>
      <c r="M1626" s="95">
        <f t="shared" si="411"/>
        <v>185763324.5368796</v>
      </c>
    </row>
    <row r="1627" spans="1:13" x14ac:dyDescent="0.25">
      <c r="A1627" s="43">
        <v>17</v>
      </c>
      <c r="B1627" s="200">
        <f>'N CARRILES HCM'!I20</f>
        <v>211.97770883885204</v>
      </c>
      <c r="C1627" s="95">
        <f t="shared" si="406"/>
        <v>122934467.56789975</v>
      </c>
      <c r="D1627" s="95">
        <f t="shared" si="407"/>
        <v>148219530.73612472</v>
      </c>
      <c r="E1627" s="95">
        <f t="shared" si="408"/>
        <v>191336224.27298597</v>
      </c>
      <c r="I1627" s="43">
        <v>17</v>
      </c>
      <c r="J1627" s="200">
        <f>'N CARRILES HCM'!I57</f>
        <v>211.97770883885204</v>
      </c>
      <c r="K1627" s="95">
        <f t="shared" si="409"/>
        <v>110265518.75361152</v>
      </c>
      <c r="L1627" s="95">
        <f t="shared" si="410"/>
        <v>148219530.73612472</v>
      </c>
      <c r="M1627" s="95">
        <f t="shared" si="411"/>
        <v>191336224.27298599</v>
      </c>
    </row>
    <row r="1628" spans="1:13" x14ac:dyDescent="0.25">
      <c r="A1628" s="43">
        <v>18</v>
      </c>
      <c r="B1628" s="200">
        <f>'N CARRILES HCM'!I21</f>
        <v>218.3370401040176</v>
      </c>
      <c r="C1628" s="95">
        <f t="shared" si="406"/>
        <v>126622501.59493676</v>
      </c>
      <c r="D1628" s="95">
        <f t="shared" si="407"/>
        <v>152666116.65820846</v>
      </c>
      <c r="E1628" s="95">
        <f t="shared" si="408"/>
        <v>197076311.00117555</v>
      </c>
      <c r="I1628" s="43">
        <v>18</v>
      </c>
      <c r="J1628" s="200">
        <f>'N CARRILES HCM'!I58</f>
        <v>218.3370401040176</v>
      </c>
      <c r="K1628" s="95">
        <f t="shared" si="409"/>
        <v>113573484.31621985</v>
      </c>
      <c r="L1628" s="95">
        <f t="shared" si="410"/>
        <v>152666116.65820849</v>
      </c>
      <c r="M1628" s="95">
        <f t="shared" si="411"/>
        <v>197076311.00117558</v>
      </c>
    </row>
    <row r="1629" spans="1:13" x14ac:dyDescent="0.25">
      <c r="A1629" s="43">
        <v>19</v>
      </c>
      <c r="B1629" s="200">
        <f>'N CARRILES HCM'!I22</f>
        <v>224.88715130713811</v>
      </c>
      <c r="C1629" s="95">
        <f t="shared" si="406"/>
        <v>130421176.64278483</v>
      </c>
      <c r="D1629" s="95">
        <f t="shared" si="407"/>
        <v>157246100.15795472</v>
      </c>
      <c r="E1629" s="95">
        <f t="shared" si="408"/>
        <v>202988600.33121079</v>
      </c>
      <c r="I1629" s="43">
        <v>19</v>
      </c>
      <c r="J1629" s="200">
        <f>'N CARRILES HCM'!I59</f>
        <v>224.88715130713811</v>
      </c>
      <c r="K1629" s="95">
        <f t="shared" si="409"/>
        <v>116980688.84570645</v>
      </c>
      <c r="L1629" s="95">
        <f t="shared" si="410"/>
        <v>157246100.15795472</v>
      </c>
      <c r="M1629" s="95">
        <f t="shared" si="411"/>
        <v>202988600.33121079</v>
      </c>
    </row>
    <row r="1630" spans="1:13" x14ac:dyDescent="0.25">
      <c r="A1630" s="43">
        <v>20</v>
      </c>
      <c r="B1630" s="200">
        <f>'N CARRILES HCM'!I23</f>
        <v>231.63376584635225</v>
      </c>
      <c r="C1630" s="95">
        <f t="shared" si="406"/>
        <v>134333811.94206837</v>
      </c>
      <c r="D1630" s="95">
        <f t="shared" si="407"/>
        <v>161963483.16269335</v>
      </c>
      <c r="E1630" s="95">
        <f t="shared" si="408"/>
        <v>209078258.34114712</v>
      </c>
      <c r="I1630" s="43">
        <v>20</v>
      </c>
      <c r="J1630" s="200">
        <f>'N CARRILES HCM'!I60</f>
        <v>231.63376584635225</v>
      </c>
      <c r="K1630" s="95">
        <f t="shared" si="409"/>
        <v>120490109.51107763</v>
      </c>
      <c r="L1630" s="95">
        <f t="shared" si="410"/>
        <v>161963483.16269335</v>
      </c>
      <c r="M1630" s="95">
        <f t="shared" si="411"/>
        <v>209078258.34114712</v>
      </c>
    </row>
    <row r="1631" spans="1:13" x14ac:dyDescent="0.25">
      <c r="A1631" s="43">
        <v>21</v>
      </c>
      <c r="B1631" s="200">
        <f>'N CARRILES HCM'!I24</f>
        <v>238.58277882174278</v>
      </c>
      <c r="C1631" s="95">
        <f t="shared" si="406"/>
        <v>138363826.30033043</v>
      </c>
      <c r="D1631" s="95">
        <f t="shared" si="407"/>
        <v>166822387.65757412</v>
      </c>
      <c r="E1631" s="95">
        <f t="shared" si="408"/>
        <v>215350606.09138152</v>
      </c>
      <c r="I1631" s="43">
        <v>21</v>
      </c>
      <c r="J1631" s="200">
        <f>'N CARRILES HCM'!I61</f>
        <v>238.58277882174278</v>
      </c>
      <c r="K1631" s="95">
        <f t="shared" si="409"/>
        <v>124104812.79640995</v>
      </c>
      <c r="L1631" s="95">
        <f t="shared" si="410"/>
        <v>166822387.65757415</v>
      </c>
      <c r="M1631" s="95">
        <f t="shared" si="411"/>
        <v>215350606.09138155</v>
      </c>
    </row>
    <row r="1632" spans="1:13" x14ac:dyDescent="0.25">
      <c r="A1632" s="43">
        <v>22</v>
      </c>
      <c r="B1632" s="200">
        <f>'N CARRILES HCM'!I25</f>
        <v>245.74026218639509</v>
      </c>
      <c r="C1632" s="95">
        <f t="shared" si="406"/>
        <v>142514741.08934036</v>
      </c>
      <c r="D1632" s="95">
        <f t="shared" si="407"/>
        <v>171827059.28730139</v>
      </c>
      <c r="E1632" s="95">
        <f t="shared" si="408"/>
        <v>221811124.27412298</v>
      </c>
      <c r="I1632" s="43">
        <v>22</v>
      </c>
      <c r="J1632" s="200">
        <f>'N CARRILES HCM'!I62</f>
        <v>245.74026218639509</v>
      </c>
      <c r="K1632" s="95">
        <f t="shared" si="409"/>
        <v>127827957.18030228</v>
      </c>
      <c r="L1632" s="95">
        <f t="shared" si="410"/>
        <v>171827059.28730139</v>
      </c>
      <c r="M1632" s="95">
        <f t="shared" si="411"/>
        <v>221811124.27412298</v>
      </c>
    </row>
    <row r="1633" spans="1:14" x14ac:dyDescent="0.25">
      <c r="A1633" s="43">
        <v>23</v>
      </c>
      <c r="B1633" s="200">
        <f>'N CARRILES HCM'!I26</f>
        <v>253.11247005198697</v>
      </c>
      <c r="C1633" s="95">
        <f t="shared" si="406"/>
        <v>146790183.32202056</v>
      </c>
      <c r="D1633" s="95">
        <f t="shared" si="407"/>
        <v>176981871.06592047</v>
      </c>
      <c r="E1633" s="95">
        <f t="shared" si="408"/>
        <v>228465458.00234672</v>
      </c>
      <c r="I1633" s="43">
        <v>23</v>
      </c>
      <c r="J1633" s="200">
        <f>'N CARRILES HCM'!I63</f>
        <v>253.11247005198697</v>
      </c>
      <c r="K1633" s="95">
        <f t="shared" si="409"/>
        <v>131662795.89571133</v>
      </c>
      <c r="L1633" s="95">
        <f t="shared" si="410"/>
        <v>176981871.06592047</v>
      </c>
      <c r="M1633" s="95">
        <f t="shared" si="411"/>
        <v>228465458.00234669</v>
      </c>
    </row>
    <row r="1634" spans="1:14" x14ac:dyDescent="0.25">
      <c r="A1634" s="43">
        <v>24</v>
      </c>
      <c r="B1634" s="200">
        <f>'N CARRILES HCM'!I27</f>
        <v>260.70584415354654</v>
      </c>
      <c r="C1634" s="95">
        <f t="shared" si="406"/>
        <v>151193888.82168117</v>
      </c>
      <c r="D1634" s="95">
        <f t="shared" si="407"/>
        <v>182291327.19789803</v>
      </c>
      <c r="E1634" s="95">
        <f t="shared" si="408"/>
        <v>235319421.74241707</v>
      </c>
      <c r="I1634" s="43">
        <v>24</v>
      </c>
      <c r="J1634" s="200">
        <f>'N CARRILES HCM'!I64</f>
        <v>260.70584415354654</v>
      </c>
      <c r="K1634" s="95">
        <f t="shared" si="409"/>
        <v>135612679.77258265</v>
      </c>
      <c r="L1634" s="95">
        <f t="shared" si="410"/>
        <v>182291327.19789803</v>
      </c>
      <c r="M1634" s="95">
        <f t="shared" si="411"/>
        <v>235319421.74241707</v>
      </c>
    </row>
    <row r="1635" spans="1:14" x14ac:dyDescent="0.25">
      <c r="A1635" s="43">
        <v>25</v>
      </c>
      <c r="B1635" s="200">
        <f>'N CARRILES HCM'!I28</f>
        <v>268.52701947815291</v>
      </c>
      <c r="C1635" s="95">
        <f t="shared" si="406"/>
        <v>155729705.48633158</v>
      </c>
      <c r="D1635" s="95">
        <f t="shared" si="407"/>
        <v>187760067.01383495</v>
      </c>
      <c r="E1635" s="95">
        <f t="shared" si="408"/>
        <v>242379004.39468953</v>
      </c>
      <c r="I1635" s="43">
        <v>25</v>
      </c>
      <c r="J1635" s="200">
        <f>'N CARRILES HCM'!I65</f>
        <v>268.52701947815291</v>
      </c>
      <c r="K1635" s="95">
        <f t="shared" si="409"/>
        <v>139681060.16576013</v>
      </c>
      <c r="L1635" s="95">
        <f t="shared" si="410"/>
        <v>187760067.01383498</v>
      </c>
      <c r="M1635" s="95">
        <f t="shared" si="411"/>
        <v>242379004.39468953</v>
      </c>
    </row>
    <row r="1636" spans="1:14" x14ac:dyDescent="0.25">
      <c r="A1636" s="43">
        <v>26</v>
      </c>
      <c r="B1636" s="200">
        <f>'N CARRILES HCM'!I29</f>
        <v>276.58283006249758</v>
      </c>
      <c r="C1636" s="95">
        <f t="shared" si="406"/>
        <v>160401596.65092155</v>
      </c>
      <c r="D1636" s="95">
        <f t="shared" si="407"/>
        <v>193392869.02425006</v>
      </c>
      <c r="E1636" s="95">
        <f t="shared" si="408"/>
        <v>249650374.52653033</v>
      </c>
      <c r="I1636" s="43">
        <v>26</v>
      </c>
      <c r="J1636" s="200">
        <f>'N CARRILES HCM'!I66</f>
        <v>276.58283006249758</v>
      </c>
      <c r="K1636" s="95">
        <f t="shared" si="409"/>
        <v>143871491.97073299</v>
      </c>
      <c r="L1636" s="95">
        <f t="shared" si="410"/>
        <v>193392869.02425006</v>
      </c>
      <c r="M1636" s="95">
        <f t="shared" si="411"/>
        <v>249650374.52653033</v>
      </c>
    </row>
    <row r="1637" spans="1:14" x14ac:dyDescent="0.25">
      <c r="A1637" s="43">
        <v>27</v>
      </c>
      <c r="B1637" s="200">
        <f>'N CARRILES HCM'!I30</f>
        <v>284.88031496437242</v>
      </c>
      <c r="C1637" s="95">
        <f t="shared" si="406"/>
        <v>165213644.55044916</v>
      </c>
      <c r="D1637" s="95">
        <f t="shared" si="407"/>
        <v>199194655.0949775</v>
      </c>
      <c r="E1637" s="95">
        <f t="shared" si="408"/>
        <v>257139885.76232612</v>
      </c>
      <c r="I1637" s="43">
        <v>27</v>
      </c>
      <c r="J1637" s="200">
        <f>'N CARRILES HCM'!I67</f>
        <v>284.88031496437242</v>
      </c>
      <c r="K1637" s="95">
        <f t="shared" si="409"/>
        <v>148187636.72985491</v>
      </c>
      <c r="L1637" s="95">
        <f t="shared" si="410"/>
        <v>199194655.0949775</v>
      </c>
      <c r="M1637" s="95">
        <f t="shared" si="411"/>
        <v>257139885.76232612</v>
      </c>
    </row>
    <row r="1638" spans="1:14" x14ac:dyDescent="0.25">
      <c r="A1638" s="43">
        <v>28</v>
      </c>
      <c r="B1638" s="200">
        <f>'N CARRILES HCM'!I31</f>
        <v>293.42672441330365</v>
      </c>
      <c r="C1638" s="95">
        <f t="shared" si="406"/>
        <v>170170053.88696268</v>
      </c>
      <c r="D1638" s="95">
        <f t="shared" si="407"/>
        <v>205170494.74782687</v>
      </c>
      <c r="E1638" s="95">
        <f t="shared" si="408"/>
        <v>264854082.33519593</v>
      </c>
      <c r="I1638" s="43">
        <v>28</v>
      </c>
      <c r="J1638" s="200">
        <f>'N CARRILES HCM'!I68</f>
        <v>293.42672441330365</v>
      </c>
      <c r="K1638" s="95">
        <f t="shared" si="409"/>
        <v>152633265.8317506</v>
      </c>
      <c r="L1638" s="95">
        <f t="shared" si="410"/>
        <v>205170494.74782684</v>
      </c>
      <c r="M1638" s="95">
        <f t="shared" si="411"/>
        <v>264854082.33519596</v>
      </c>
    </row>
    <row r="1639" spans="1:14" x14ac:dyDescent="0.25">
      <c r="A1639" s="43">
        <v>29</v>
      </c>
      <c r="B1639" s="200">
        <f>'N CARRILES HCM'!I32</f>
        <v>302.22952614570272</v>
      </c>
      <c r="C1639" s="95">
        <f t="shared" si="406"/>
        <v>175275155.50357154</v>
      </c>
      <c r="D1639" s="95">
        <f t="shared" si="407"/>
        <v>211325609.59026164</v>
      </c>
      <c r="E1639" s="95">
        <f t="shared" si="408"/>
        <v>272799704.80525184</v>
      </c>
      <c r="I1639" s="43">
        <v>29</v>
      </c>
      <c r="J1639" s="200">
        <f>'N CARRILES HCM'!I69</f>
        <v>302.22952614570272</v>
      </c>
      <c r="K1639" s="95">
        <f t="shared" si="409"/>
        <v>157212263.80670309</v>
      </c>
      <c r="L1639" s="95">
        <f t="shared" si="410"/>
        <v>211325609.59026164</v>
      </c>
      <c r="M1639" s="95">
        <f t="shared" si="411"/>
        <v>272799704.80525184</v>
      </c>
    </row>
    <row r="1640" spans="1:14" x14ac:dyDescent="0.25">
      <c r="A1640" s="43">
        <v>30</v>
      </c>
      <c r="B1640" s="200">
        <f>'N CARRILES HCM'!I33</f>
        <v>311.29641193007376</v>
      </c>
      <c r="C1640" s="95">
        <f t="shared" si="406"/>
        <v>180533410.16867864</v>
      </c>
      <c r="D1640" s="95">
        <f t="shared" si="407"/>
        <v>217665377.87796947</v>
      </c>
      <c r="E1640" s="95">
        <f t="shared" si="408"/>
        <v>280983695.94940931</v>
      </c>
      <c r="I1640" s="43">
        <v>30</v>
      </c>
      <c r="J1640" s="200">
        <f>'N CARRILES HCM'!I70</f>
        <v>311.29641193007376</v>
      </c>
      <c r="K1640" s="95">
        <f t="shared" si="409"/>
        <v>161928631.72090417</v>
      </c>
      <c r="L1640" s="95">
        <f t="shared" si="410"/>
        <v>217665377.87796944</v>
      </c>
      <c r="M1640" s="95">
        <f t="shared" si="411"/>
        <v>280983695.94940931</v>
      </c>
    </row>
    <row r="1641" spans="1:14" x14ac:dyDescent="0.25">
      <c r="A1641" s="43">
        <v>31</v>
      </c>
      <c r="B1641" s="200">
        <f>'N CARRILES HCM'!I34</f>
        <v>320.63530428797606</v>
      </c>
      <c r="C1641" s="95">
        <f t="shared" si="406"/>
        <v>185949412.47373906</v>
      </c>
      <c r="D1641" s="95">
        <f t="shared" si="407"/>
        <v>224195339.21430859</v>
      </c>
      <c r="E1641" s="95">
        <f t="shared" si="408"/>
        <v>289413206.82789171</v>
      </c>
      <c r="I1641" s="43">
        <v>31</v>
      </c>
      <c r="J1641" s="200">
        <f>'N CARRILES HCM'!I71</f>
        <v>320.63530428797606</v>
      </c>
      <c r="K1641" s="95">
        <f t="shared" si="409"/>
        <v>166786490.67253134</v>
      </c>
      <c r="L1641" s="95">
        <f t="shared" si="410"/>
        <v>224195339.21430859</v>
      </c>
      <c r="M1641" s="95">
        <f t="shared" si="411"/>
        <v>289413206.82789165</v>
      </c>
    </row>
    <row r="1642" spans="1:14" x14ac:dyDescent="0.25">
      <c r="A1642" s="43">
        <v>32</v>
      </c>
      <c r="B1642" s="200">
        <f>'N CARRILES HCM'!I35</f>
        <v>330.25436341661526</v>
      </c>
      <c r="C1642" s="95">
        <f t="shared" si="406"/>
        <v>191527894.8479512</v>
      </c>
      <c r="D1642" s="95">
        <f t="shared" si="407"/>
        <v>230921199.3907378</v>
      </c>
      <c r="E1642" s="95">
        <f t="shared" si="408"/>
        <v>298095603.03272837</v>
      </c>
      <c r="I1642" s="43">
        <v>32</v>
      </c>
      <c r="J1642" s="200">
        <f>'N CARRILES HCM'!I72</f>
        <v>330.25436341661526</v>
      </c>
      <c r="K1642" s="95">
        <f t="shared" si="409"/>
        <v>171790085.39270723</v>
      </c>
      <c r="L1642" s="95">
        <f t="shared" si="410"/>
        <v>230921199.3907378</v>
      </c>
      <c r="M1642" s="95">
        <f t="shared" si="411"/>
        <v>298095603.03272837</v>
      </c>
    </row>
    <row r="1643" spans="1:14" x14ac:dyDescent="0.25">
      <c r="A1643" s="239" t="s">
        <v>297</v>
      </c>
      <c r="B1643" s="239"/>
      <c r="C1643" s="239"/>
      <c r="D1643" s="239"/>
      <c r="E1643" s="239"/>
      <c r="F1643" s="239"/>
      <c r="G1643" s="19"/>
      <c r="J1643" t="s">
        <v>300</v>
      </c>
    </row>
    <row r="1644" spans="1:14" x14ac:dyDescent="0.25">
      <c r="A1644" t="s">
        <v>243</v>
      </c>
      <c r="F1644" s="239" t="s">
        <v>247</v>
      </c>
      <c r="G1644" s="239">
        <f>$G$131</f>
        <v>70</v>
      </c>
      <c r="J1644" s="569" t="s">
        <v>246</v>
      </c>
      <c r="K1644" s="569"/>
      <c r="L1644" s="569"/>
      <c r="M1644" s="574" t="s">
        <v>250</v>
      </c>
      <c r="N1644" s="574"/>
    </row>
    <row r="1645" spans="1:14" x14ac:dyDescent="0.25">
      <c r="C1645" s="569" t="s">
        <v>246</v>
      </c>
      <c r="D1645" s="569"/>
      <c r="E1645" s="569"/>
      <c r="I1645" s="43" t="s">
        <v>18</v>
      </c>
      <c r="J1645" s="270" t="s">
        <v>126</v>
      </c>
      <c r="K1645" s="270" t="s">
        <v>90</v>
      </c>
      <c r="L1645" s="270" t="s">
        <v>127</v>
      </c>
      <c r="M1645" s="574"/>
      <c r="N1645" s="574"/>
    </row>
    <row r="1646" spans="1:14" x14ac:dyDescent="0.25">
      <c r="A1646" s="43" t="s">
        <v>18</v>
      </c>
      <c r="B1646" s="43" t="s">
        <v>298</v>
      </c>
      <c r="C1646" s="298" t="s">
        <v>233</v>
      </c>
      <c r="D1646" s="298" t="s">
        <v>234</v>
      </c>
      <c r="E1646" s="298" t="s">
        <v>235</v>
      </c>
      <c r="I1646" s="43">
        <v>0</v>
      </c>
      <c r="J1646" s="95">
        <f>IF($B$20="P",B1610,IF($B$20="L",D1610,IF($B$20="M",E1610)))</f>
        <v>128.25</v>
      </c>
      <c r="K1646" s="95">
        <f>IF($B$57="P",K1610,IF($B$57="L",L1610,IF($B$57="M",M1610)))</f>
        <v>66712452.255540006</v>
      </c>
      <c r="L1646" s="95">
        <f>IF($B$94="P",C1647,IF($B$94="L",D1647,IF($B$94="M",E1647)))</f>
        <v>148754749.27950001</v>
      </c>
      <c r="M1646" s="299">
        <f>L1646-K1646-J1646</f>
        <v>82042168.773959994</v>
      </c>
      <c r="N1646" s="70"/>
    </row>
    <row r="1647" spans="1:14" x14ac:dyDescent="0.25">
      <c r="A1647" s="43">
        <v>0</v>
      </c>
      <c r="B1647" s="200">
        <f>'N CARRILES HCM'!I77</f>
        <v>256.5</v>
      </c>
      <c r="C1647" s="95">
        <f>B1647*365*$G$418*L1573</f>
        <v>148754749.27950001</v>
      </c>
      <c r="D1647" s="95">
        <f>B1647*365*$G$418*M1573</f>
        <v>179350507.38150004</v>
      </c>
      <c r="E1647" s="95">
        <f>B1647*365*$G$418*N1573</f>
        <v>231523124.74200004</v>
      </c>
      <c r="I1647" s="43">
        <v>1</v>
      </c>
      <c r="J1647" s="95">
        <f t="shared" ref="J1647:J1675" si="412">IF($B$20="P",C1611,IF($B$20="L",D1611,IF($B$20="M",E1611)))</f>
        <v>71386605.036296561</v>
      </c>
      <c r="K1647" s="95">
        <f t="shared" ref="K1647:K1676" si="413">IF($B$57="P",K1611,IF($B$57="L",L1611,IF($B$57="M",M1611)))</f>
        <v>68713825.823206201</v>
      </c>
      <c r="L1647" s="95">
        <f t="shared" ref="L1647:L1676" si="414">IF($B$94="P",C1648,IF($B$94="L",D1648,IF($B$94="M",E1648)))</f>
        <v>153217391.75788501</v>
      </c>
      <c r="M1647" s="300">
        <f t="shared" ref="M1647:M1676" si="415">L1647-K1647-J1647</f>
        <v>13116960.898382246</v>
      </c>
      <c r="N1647" s="70"/>
    </row>
    <row r="1648" spans="1:14" x14ac:dyDescent="0.25">
      <c r="A1648" s="43">
        <v>1</v>
      </c>
      <c r="B1648" s="200">
        <f>'N CARRILES HCM'!I78</f>
        <v>264.19499999999999</v>
      </c>
      <c r="C1648" s="95">
        <f t="shared" ref="C1648:C1677" si="416">B1648*365*$G$418*L1574</f>
        <v>153217391.75788501</v>
      </c>
      <c r="D1648" s="95">
        <f t="shared" ref="D1648:D1677" si="417">B1648*365*$G$418*M1574</f>
        <v>184731022.60294503</v>
      </c>
      <c r="E1648" s="95">
        <f t="shared" ref="E1648:E1677" si="418">B1648*365*$G$418*N1574</f>
        <v>238468818.48426002</v>
      </c>
      <c r="I1648" s="43">
        <v>2</v>
      </c>
      <c r="J1648" s="95">
        <f t="shared" si="412"/>
        <v>73528203.187385455</v>
      </c>
      <c r="K1648" s="95">
        <f t="shared" si="413"/>
        <v>70775240.597902372</v>
      </c>
      <c r="L1648" s="95">
        <f t="shared" si="414"/>
        <v>157813913.51062152</v>
      </c>
      <c r="M1648" s="300">
        <f t="shared" si="415"/>
        <v>13510469.725333691</v>
      </c>
      <c r="N1648" s="70"/>
    </row>
    <row r="1649" spans="1:14" x14ac:dyDescent="0.25">
      <c r="A1649" s="43">
        <v>2</v>
      </c>
      <c r="B1649" s="200">
        <f>'N CARRILES HCM'!I79</f>
        <v>272.12084999999996</v>
      </c>
      <c r="C1649" s="95">
        <f t="shared" si="416"/>
        <v>157813913.51062152</v>
      </c>
      <c r="D1649" s="95">
        <f t="shared" si="417"/>
        <v>190272953.28103334</v>
      </c>
      <c r="E1649" s="95">
        <f t="shared" si="418"/>
        <v>245622883.03878778</v>
      </c>
      <c r="I1649" s="43">
        <v>3</v>
      </c>
      <c r="J1649" s="95">
        <f t="shared" si="412"/>
        <v>75734049.283007026</v>
      </c>
      <c r="K1649" s="95">
        <f t="shared" si="413"/>
        <v>72898497.815839455</v>
      </c>
      <c r="L1649" s="95">
        <f t="shared" si="414"/>
        <v>162548330.9159402</v>
      </c>
      <c r="M1649" s="300">
        <f t="shared" si="415"/>
        <v>13915783.817093715</v>
      </c>
      <c r="N1649" s="70"/>
    </row>
    <row r="1650" spans="1:14" x14ac:dyDescent="0.25">
      <c r="A1650" s="43">
        <v>3</v>
      </c>
      <c r="B1650" s="200">
        <f>'N CARRILES HCM'!I80</f>
        <v>280.28447549999999</v>
      </c>
      <c r="C1650" s="95">
        <f t="shared" si="416"/>
        <v>162548330.9159402</v>
      </c>
      <c r="D1650" s="95">
        <f t="shared" si="417"/>
        <v>195981141.87946439</v>
      </c>
      <c r="E1650" s="95">
        <f t="shared" si="418"/>
        <v>252991569.52995145</v>
      </c>
      <c r="I1650" s="43">
        <v>4</v>
      </c>
      <c r="J1650" s="95">
        <f t="shared" si="412"/>
        <v>78006070.761497244</v>
      </c>
      <c r="K1650" s="95">
        <f t="shared" si="413"/>
        <v>75085452.750314653</v>
      </c>
      <c r="L1650" s="95">
        <f t="shared" si="414"/>
        <v>167424780.84341842</v>
      </c>
      <c r="M1650" s="300">
        <f t="shared" si="415"/>
        <v>14333257.331606522</v>
      </c>
      <c r="N1650" s="70"/>
    </row>
    <row r="1651" spans="1:14" x14ac:dyDescent="0.25">
      <c r="A1651" s="43">
        <v>4</v>
      </c>
      <c r="B1651" s="200">
        <f>'N CARRILES HCM'!I81</f>
        <v>288.693009765</v>
      </c>
      <c r="C1651" s="95">
        <f t="shared" si="416"/>
        <v>167424780.84341842</v>
      </c>
      <c r="D1651" s="95">
        <f t="shared" si="417"/>
        <v>201860576.13584831</v>
      </c>
      <c r="E1651" s="95">
        <f t="shared" si="418"/>
        <v>260581316.61585</v>
      </c>
      <c r="I1651" s="43">
        <v>5</v>
      </c>
      <c r="J1651" s="95">
        <f t="shared" si="412"/>
        <v>80346252.884342149</v>
      </c>
      <c r="K1651" s="95">
        <f t="shared" si="413"/>
        <v>77338016.332824066</v>
      </c>
      <c r="L1651" s="95">
        <f t="shared" si="414"/>
        <v>172447524.26872092</v>
      </c>
      <c r="M1651" s="300">
        <f t="shared" si="415"/>
        <v>14763255.05155471</v>
      </c>
      <c r="N1651" s="70"/>
    </row>
    <row r="1652" spans="1:14" x14ac:dyDescent="0.25">
      <c r="A1652" s="43">
        <v>5</v>
      </c>
      <c r="B1652" s="200">
        <f>'N CARRILES HCM'!I82</f>
        <v>297.35380005794997</v>
      </c>
      <c r="C1652" s="95">
        <f t="shared" si="416"/>
        <v>172447524.26872092</v>
      </c>
      <c r="D1652" s="95">
        <f t="shared" si="417"/>
        <v>207916393.41992372</v>
      </c>
      <c r="E1652" s="95">
        <f t="shared" si="418"/>
        <v>268398756.11432546</v>
      </c>
      <c r="I1652" s="43">
        <v>6</v>
      </c>
      <c r="J1652" s="95">
        <f t="shared" si="412"/>
        <v>82756640.470872402</v>
      </c>
      <c r="K1652" s="95">
        <f t="shared" si="413"/>
        <v>79658156.822808802</v>
      </c>
      <c r="L1652" s="95">
        <f t="shared" si="414"/>
        <v>177620949.99678257</v>
      </c>
      <c r="M1652" s="300">
        <f t="shared" si="415"/>
        <v>15206152.703101367</v>
      </c>
      <c r="N1652" s="70"/>
    </row>
    <row r="1653" spans="1:14" x14ac:dyDescent="0.25">
      <c r="A1653" s="43">
        <v>6</v>
      </c>
      <c r="B1653" s="200">
        <f>'N CARRILES HCM'!I83</f>
        <v>306.27441405968847</v>
      </c>
      <c r="C1653" s="95">
        <f t="shared" si="416"/>
        <v>177620949.99678257</v>
      </c>
      <c r="D1653" s="95">
        <f t="shared" si="417"/>
        <v>214153885.22252145</v>
      </c>
      <c r="E1653" s="95">
        <f t="shared" si="418"/>
        <v>276450718.79775524</v>
      </c>
      <c r="I1653" s="43">
        <v>7</v>
      </c>
      <c r="J1653" s="95">
        <f t="shared" si="412"/>
        <v>85239339.684998602</v>
      </c>
      <c r="K1653" s="95">
        <f t="shared" si="413"/>
        <v>82047901.527493075</v>
      </c>
      <c r="L1653" s="95">
        <f t="shared" si="414"/>
        <v>182949578.49668607</v>
      </c>
      <c r="M1653" s="300">
        <f t="shared" si="415"/>
        <v>15662337.284194395</v>
      </c>
      <c r="N1653" s="70"/>
    </row>
    <row r="1654" spans="1:14" x14ac:dyDescent="0.25">
      <c r="A1654" s="43">
        <v>7</v>
      </c>
      <c r="B1654" s="200">
        <f>'N CARRILES HCM'!I84</f>
        <v>315.46264648147917</v>
      </c>
      <c r="C1654" s="95">
        <f t="shared" si="416"/>
        <v>182949578.49668607</v>
      </c>
      <c r="D1654" s="95">
        <f t="shared" si="417"/>
        <v>220578501.77919713</v>
      </c>
      <c r="E1654" s="95">
        <f t="shared" si="418"/>
        <v>284744240.36168796</v>
      </c>
      <c r="I1654" s="43">
        <v>8</v>
      </c>
      <c r="J1654" s="95">
        <f t="shared" si="412"/>
        <v>87796519.875548527</v>
      </c>
      <c r="K1654" s="95">
        <f t="shared" si="413"/>
        <v>84509338.573317841</v>
      </c>
      <c r="L1654" s="95">
        <f t="shared" si="414"/>
        <v>188438065.85158661</v>
      </c>
      <c r="M1654" s="300">
        <f t="shared" si="415"/>
        <v>16132207.402720243</v>
      </c>
      <c r="N1654" s="70"/>
    </row>
    <row r="1655" spans="1:14" x14ac:dyDescent="0.25">
      <c r="A1655" s="43">
        <v>8</v>
      </c>
      <c r="B1655" s="200">
        <f>'N CARRILES HCM'!I85</f>
        <v>324.92652587592346</v>
      </c>
      <c r="C1655" s="95">
        <f t="shared" si="416"/>
        <v>188438065.85158661</v>
      </c>
      <c r="D1655" s="95">
        <f t="shared" si="417"/>
        <v>227195856.832573</v>
      </c>
      <c r="E1655" s="95">
        <f t="shared" si="418"/>
        <v>293286567.5725385</v>
      </c>
      <c r="I1655" s="43">
        <v>9</v>
      </c>
      <c r="J1655" s="95">
        <f t="shared" si="412"/>
        <v>90430415.471815005</v>
      </c>
      <c r="K1655" s="95">
        <f t="shared" si="413"/>
        <v>87044618.730517402</v>
      </c>
      <c r="L1655" s="95">
        <f t="shared" si="414"/>
        <v>194091207.82713425</v>
      </c>
      <c r="M1655" s="300">
        <f t="shared" si="415"/>
        <v>16616173.624801844</v>
      </c>
      <c r="N1655" s="70"/>
    </row>
    <row r="1656" spans="1:14" x14ac:dyDescent="0.25">
      <c r="A1656" s="43">
        <v>9</v>
      </c>
      <c r="B1656" s="200">
        <f>'N CARRILES HCM'!I86</f>
        <v>334.67432165220123</v>
      </c>
      <c r="C1656" s="95">
        <f t="shared" si="416"/>
        <v>194091207.82713425</v>
      </c>
      <c r="D1656" s="95">
        <f t="shared" si="417"/>
        <v>234011732.53755024</v>
      </c>
      <c r="E1656" s="95">
        <f t="shared" si="418"/>
        <v>302085164.59971476</v>
      </c>
      <c r="I1656" s="43">
        <v>10</v>
      </c>
      <c r="J1656" s="95">
        <f t="shared" si="412"/>
        <v>93143327.935969442</v>
      </c>
      <c r="K1656" s="95">
        <f t="shared" si="413"/>
        <v>89655957.292432904</v>
      </c>
      <c r="L1656" s="95">
        <f t="shared" si="414"/>
        <v>199913944.06194827</v>
      </c>
      <c r="M1656" s="300">
        <f t="shared" si="415"/>
        <v>17114658.833545923</v>
      </c>
      <c r="N1656" s="70"/>
    </row>
    <row r="1657" spans="1:14" x14ac:dyDescent="0.25">
      <c r="A1657" s="43">
        <v>10</v>
      </c>
      <c r="B1657" s="200">
        <f>'N CARRILES HCM'!I87</f>
        <v>344.71455130176724</v>
      </c>
      <c r="C1657" s="95">
        <f t="shared" si="416"/>
        <v>199913944.06194827</v>
      </c>
      <c r="D1657" s="95">
        <f t="shared" si="417"/>
        <v>241032084.5136767</v>
      </c>
      <c r="E1657" s="95">
        <f t="shared" si="418"/>
        <v>311147719.53770614</v>
      </c>
      <c r="I1657" s="43">
        <v>11</v>
      </c>
      <c r="J1657" s="95">
        <f t="shared" si="412"/>
        <v>95937627.774048537</v>
      </c>
      <c r="K1657" s="95">
        <f t="shared" si="413"/>
        <v>92345636.011205882</v>
      </c>
      <c r="L1657" s="95">
        <f t="shared" si="414"/>
        <v>205911362.38380671</v>
      </c>
      <c r="M1657" s="300">
        <f t="shared" si="415"/>
        <v>17628098.598552287</v>
      </c>
      <c r="N1657" s="70"/>
    </row>
    <row r="1658" spans="1:14" x14ac:dyDescent="0.25">
      <c r="A1658" s="43">
        <v>11</v>
      </c>
      <c r="B1658" s="200">
        <f>'N CARRILES HCM'!I88</f>
        <v>355.05598784082025</v>
      </c>
      <c r="C1658" s="95">
        <f t="shared" si="416"/>
        <v>205911362.38380671</v>
      </c>
      <c r="D1658" s="95">
        <f t="shared" si="417"/>
        <v>248263047.04908699</v>
      </c>
      <c r="E1658" s="95">
        <f t="shared" si="418"/>
        <v>320482151.12383729</v>
      </c>
      <c r="I1658" s="43">
        <v>12</v>
      </c>
      <c r="J1658" s="95">
        <f t="shared" si="412"/>
        <v>98815756.607269973</v>
      </c>
      <c r="K1658" s="95">
        <f t="shared" si="413"/>
        <v>95116005.091542065</v>
      </c>
      <c r="L1658" s="95">
        <f t="shared" si="414"/>
        <v>226676108.92358023</v>
      </c>
      <c r="M1658" s="300">
        <f t="shared" si="415"/>
        <v>32744347.224768192</v>
      </c>
      <c r="N1658" s="70"/>
    </row>
    <row r="1659" spans="1:14" x14ac:dyDescent="0.25">
      <c r="A1659" s="43">
        <v>12</v>
      </c>
      <c r="B1659" s="200">
        <f>'N CARRILES HCM'!I89</f>
        <v>365.70766747604483</v>
      </c>
      <c r="C1659" s="95">
        <f t="shared" si="416"/>
        <v>226676108.92358023</v>
      </c>
      <c r="D1659" s="95">
        <f t="shared" si="417"/>
        <v>255710938.46055961</v>
      </c>
      <c r="E1659" s="95">
        <f t="shared" si="418"/>
        <v>330096615.65755248</v>
      </c>
      <c r="I1659" s="43">
        <v>13</v>
      </c>
      <c r="J1659" s="95">
        <f t="shared" si="412"/>
        <v>101780229.30548808</v>
      </c>
      <c r="K1659" s="95">
        <f t="shared" si="413"/>
        <v>97969485.244288325</v>
      </c>
      <c r="L1659" s="95">
        <f t="shared" si="414"/>
        <v>233476392.19128761</v>
      </c>
      <c r="M1659" s="300">
        <f t="shared" si="415"/>
        <v>33726677.641511202</v>
      </c>
      <c r="N1659" s="70"/>
    </row>
    <row r="1660" spans="1:14" x14ac:dyDescent="0.25">
      <c r="A1660" s="43">
        <v>13</v>
      </c>
      <c r="B1660" s="200">
        <f>'N CARRILES HCM'!I90</f>
        <v>376.67889750032617</v>
      </c>
      <c r="C1660" s="95">
        <f t="shared" si="416"/>
        <v>233476392.19128761</v>
      </c>
      <c r="D1660" s="95">
        <f t="shared" si="417"/>
        <v>263382266.6143764</v>
      </c>
      <c r="E1660" s="95">
        <f t="shared" si="418"/>
        <v>339999514.12727898</v>
      </c>
      <c r="I1660" s="43">
        <v>14</v>
      </c>
      <c r="J1660" s="95">
        <f t="shared" si="412"/>
        <v>112502452.64178497</v>
      </c>
      <c r="K1660" s="95">
        <f t="shared" si="413"/>
        <v>100908569.801617</v>
      </c>
      <c r="L1660" s="95">
        <f t="shared" si="414"/>
        <v>240480683.95702624</v>
      </c>
      <c r="M1660" s="300">
        <f t="shared" si="415"/>
        <v>27069661.513624281</v>
      </c>
      <c r="N1660" s="70"/>
    </row>
    <row r="1661" spans="1:14" x14ac:dyDescent="0.25">
      <c r="A1661" s="43">
        <v>14</v>
      </c>
      <c r="B1661" s="200">
        <f>'N CARRILES HCM'!I91</f>
        <v>387.979264425336</v>
      </c>
      <c r="C1661" s="95">
        <f t="shared" si="416"/>
        <v>240480683.95702624</v>
      </c>
      <c r="D1661" s="95">
        <f t="shared" si="417"/>
        <v>271283734.61280769</v>
      </c>
      <c r="E1661" s="95">
        <f t="shared" si="418"/>
        <v>350199499.55109739</v>
      </c>
      <c r="I1661" s="43">
        <v>15</v>
      </c>
      <c r="J1661" s="95">
        <f t="shared" si="412"/>
        <v>115877526.22103854</v>
      </c>
      <c r="K1661" s="95">
        <f t="shared" si="413"/>
        <v>103935826.8956655</v>
      </c>
      <c r="L1661" s="95">
        <f t="shared" si="414"/>
        <v>247695104.47573701</v>
      </c>
      <c r="M1661" s="300">
        <f t="shared" si="415"/>
        <v>27881751.359032974</v>
      </c>
      <c r="N1661" s="70"/>
    </row>
    <row r="1662" spans="1:14" x14ac:dyDescent="0.25">
      <c r="A1662" s="43">
        <v>15</v>
      </c>
      <c r="B1662" s="200">
        <f>'N CARRILES HCM'!I92</f>
        <v>399.61864235809605</v>
      </c>
      <c r="C1662" s="95">
        <f t="shared" si="416"/>
        <v>247695104.47573701</v>
      </c>
      <c r="D1662" s="95">
        <f t="shared" si="417"/>
        <v>279422246.65119189</v>
      </c>
      <c r="E1662" s="95">
        <f t="shared" si="418"/>
        <v>360705484.53763026</v>
      </c>
      <c r="I1662" s="43">
        <v>16</v>
      </c>
      <c r="J1662" s="95">
        <f t="shared" si="412"/>
        <v>119353852.00766964</v>
      </c>
      <c r="K1662" s="95">
        <f t="shared" si="413"/>
        <v>107053901.70253545</v>
      </c>
      <c r="L1662" s="95">
        <f t="shared" si="414"/>
        <v>255125957.61000907</v>
      </c>
      <c r="M1662" s="300">
        <f t="shared" si="415"/>
        <v>28718203.899803981</v>
      </c>
      <c r="N1662" s="70"/>
    </row>
    <row r="1663" spans="1:14" x14ac:dyDescent="0.25">
      <c r="A1663" s="43">
        <v>16</v>
      </c>
      <c r="B1663" s="200">
        <f>'N CARRILES HCM'!I93</f>
        <v>411.60720162883888</v>
      </c>
      <c r="C1663" s="95">
        <f t="shared" si="416"/>
        <v>255125957.61000907</v>
      </c>
      <c r="D1663" s="95">
        <f t="shared" si="417"/>
        <v>287804914.05072761</v>
      </c>
      <c r="E1663" s="95">
        <f t="shared" si="418"/>
        <v>371526649.07375908</v>
      </c>
      <c r="I1663" s="43">
        <v>17</v>
      </c>
      <c r="J1663" s="95">
        <f t="shared" si="412"/>
        <v>122934467.56789975</v>
      </c>
      <c r="K1663" s="95">
        <f t="shared" si="413"/>
        <v>110265518.75361152</v>
      </c>
      <c r="L1663" s="95">
        <f t="shared" si="414"/>
        <v>262779736.33830938</v>
      </c>
      <c r="M1663" s="300">
        <f t="shared" si="415"/>
        <v>29579750.016798094</v>
      </c>
      <c r="N1663" s="70"/>
    </row>
    <row r="1664" spans="1:14" x14ac:dyDescent="0.25">
      <c r="A1664" s="43">
        <v>17</v>
      </c>
      <c r="B1664" s="200">
        <f>'N CARRILES HCM'!I94</f>
        <v>423.95541767770408</v>
      </c>
      <c r="C1664" s="95">
        <f t="shared" si="416"/>
        <v>262779736.33830938</v>
      </c>
      <c r="D1664" s="95">
        <f t="shared" si="417"/>
        <v>296439061.47224945</v>
      </c>
      <c r="E1664" s="95">
        <f t="shared" si="418"/>
        <v>382672448.54597193</v>
      </c>
      <c r="I1664" s="43">
        <v>18</v>
      </c>
      <c r="J1664" s="95">
        <f t="shared" si="412"/>
        <v>126622501.59493676</v>
      </c>
      <c r="K1664" s="95">
        <f t="shared" si="413"/>
        <v>113573484.31621985</v>
      </c>
      <c r="L1664" s="95">
        <f t="shared" si="414"/>
        <v>270663128.42845869</v>
      </c>
      <c r="M1664" s="300">
        <f t="shared" si="415"/>
        <v>30467142.517302066</v>
      </c>
      <c r="N1664" s="70"/>
    </row>
    <row r="1665" spans="1:14" x14ac:dyDescent="0.25">
      <c r="A1665" s="43">
        <v>18</v>
      </c>
      <c r="B1665" s="200">
        <f>'N CARRILES HCM'!I95</f>
        <v>436.67408020803521</v>
      </c>
      <c r="C1665" s="95">
        <f t="shared" si="416"/>
        <v>270663128.42845869</v>
      </c>
      <c r="D1665" s="95">
        <f t="shared" si="417"/>
        <v>305332233.31641698</v>
      </c>
      <c r="E1665" s="95">
        <f t="shared" si="418"/>
        <v>394152622.00235111</v>
      </c>
      <c r="I1665" s="43">
        <v>19</v>
      </c>
      <c r="J1665" s="95">
        <f t="shared" si="412"/>
        <v>130421176.64278483</v>
      </c>
      <c r="K1665" s="95">
        <f t="shared" si="413"/>
        <v>116980688.84570645</v>
      </c>
      <c r="L1665" s="95">
        <f t="shared" si="414"/>
        <v>278783022.28131241</v>
      </c>
      <c r="M1665" s="300">
        <f t="shared" si="415"/>
        <v>31381156.792821109</v>
      </c>
      <c r="N1665" s="70"/>
    </row>
    <row r="1666" spans="1:14" x14ac:dyDescent="0.25">
      <c r="A1666" s="43">
        <v>19</v>
      </c>
      <c r="B1666" s="200">
        <f>'N CARRILES HCM'!I96</f>
        <v>449.77430261427622</v>
      </c>
      <c r="C1666" s="95">
        <f t="shared" si="416"/>
        <v>278783022.28131241</v>
      </c>
      <c r="D1666" s="95">
        <f t="shared" si="417"/>
        <v>314492200.31590945</v>
      </c>
      <c r="E1666" s="95">
        <f t="shared" si="418"/>
        <v>405977200.66242158</v>
      </c>
      <c r="I1666" s="43">
        <v>20</v>
      </c>
      <c r="J1666" s="95">
        <f t="shared" si="412"/>
        <v>134333811.94206837</v>
      </c>
      <c r="K1666" s="95">
        <f t="shared" si="413"/>
        <v>120490109.51107763</v>
      </c>
      <c r="L1666" s="95">
        <f t="shared" si="414"/>
        <v>287146512.94975173</v>
      </c>
      <c r="M1666" s="300">
        <f t="shared" si="415"/>
        <v>32322591.496605724</v>
      </c>
      <c r="N1666" s="70"/>
    </row>
    <row r="1667" spans="1:14" x14ac:dyDescent="0.25">
      <c r="A1667" s="43">
        <v>20</v>
      </c>
      <c r="B1667" s="200">
        <f>'N CARRILES HCM'!I97</f>
        <v>463.26753169270449</v>
      </c>
      <c r="C1667" s="95">
        <f t="shared" si="416"/>
        <v>287146512.94975173</v>
      </c>
      <c r="D1667" s="95">
        <f t="shared" si="417"/>
        <v>323926966.3253867</v>
      </c>
      <c r="E1667" s="95">
        <f t="shared" si="418"/>
        <v>418156516.68229425</v>
      </c>
      <c r="I1667" s="43">
        <v>21</v>
      </c>
      <c r="J1667" s="95">
        <f t="shared" si="412"/>
        <v>138363826.30033043</v>
      </c>
      <c r="K1667" s="95">
        <f t="shared" si="413"/>
        <v>124104812.79640995</v>
      </c>
      <c r="L1667" s="95">
        <f t="shared" si="414"/>
        <v>295760908.33824426</v>
      </c>
      <c r="M1667" s="300">
        <f t="shared" si="415"/>
        <v>33292269.241503865</v>
      </c>
      <c r="N1667" s="70"/>
    </row>
    <row r="1668" spans="1:14" x14ac:dyDescent="0.25">
      <c r="A1668" s="43">
        <v>21</v>
      </c>
      <c r="B1668" s="200">
        <f>'N CARRILES HCM'!I98</f>
        <v>477.16555764348556</v>
      </c>
      <c r="C1668" s="95">
        <f t="shared" si="416"/>
        <v>295760908.33824426</v>
      </c>
      <c r="D1668" s="95">
        <f t="shared" si="417"/>
        <v>333644775.31514829</v>
      </c>
      <c r="E1668" s="95">
        <f t="shared" si="418"/>
        <v>430701212.18276298</v>
      </c>
      <c r="I1668" s="43">
        <v>22</v>
      </c>
      <c r="J1668" s="95">
        <f t="shared" si="412"/>
        <v>142514741.08934036</v>
      </c>
      <c r="K1668" s="95">
        <f t="shared" si="413"/>
        <v>127827957.18030228</v>
      </c>
      <c r="L1668" s="95">
        <f t="shared" si="414"/>
        <v>304633735.58839166</v>
      </c>
      <c r="M1668" s="300">
        <f t="shared" si="415"/>
        <v>34291037.31874904</v>
      </c>
      <c r="N1668" s="70"/>
    </row>
    <row r="1669" spans="1:14" x14ac:dyDescent="0.25">
      <c r="A1669" s="43">
        <v>22</v>
      </c>
      <c r="B1669" s="200">
        <f>'N CARRILES HCM'!I99</f>
        <v>491.48052437279017</v>
      </c>
      <c r="C1669" s="95">
        <f t="shared" si="416"/>
        <v>304633735.58839166</v>
      </c>
      <c r="D1669" s="95">
        <f t="shared" si="417"/>
        <v>343654118.57460272</v>
      </c>
      <c r="E1669" s="95">
        <f t="shared" si="418"/>
        <v>443622248.54824597</v>
      </c>
      <c r="I1669" s="43">
        <v>23</v>
      </c>
      <c r="J1669" s="95">
        <f t="shared" si="412"/>
        <v>146790183.32202056</v>
      </c>
      <c r="K1669" s="95">
        <f t="shared" si="413"/>
        <v>131662795.89571133</v>
      </c>
      <c r="L1669" s="95">
        <f t="shared" si="414"/>
        <v>313772747.65604347</v>
      </c>
      <c r="M1669" s="300">
        <f t="shared" si="415"/>
        <v>35319768.438311577</v>
      </c>
      <c r="N1669" s="70"/>
    </row>
    <row r="1670" spans="1:14" x14ac:dyDescent="0.25">
      <c r="A1670" s="43">
        <v>23</v>
      </c>
      <c r="B1670" s="200">
        <f>'N CARRILES HCM'!I100</f>
        <v>506.22494010397395</v>
      </c>
      <c r="C1670" s="95">
        <f t="shared" si="416"/>
        <v>313772747.65604347</v>
      </c>
      <c r="D1670" s="95">
        <f t="shared" si="417"/>
        <v>353963742.13184088</v>
      </c>
      <c r="E1670" s="95">
        <f t="shared" si="418"/>
        <v>456930916.00469339</v>
      </c>
      <c r="I1670" s="43">
        <v>24</v>
      </c>
      <c r="J1670" s="95">
        <f t="shared" si="412"/>
        <v>151193888.82168117</v>
      </c>
      <c r="K1670" s="95">
        <f t="shared" si="413"/>
        <v>135612679.77258265</v>
      </c>
      <c r="L1670" s="95">
        <f t="shared" si="414"/>
        <v>323185930.08572465</v>
      </c>
      <c r="M1670" s="300">
        <f t="shared" si="415"/>
        <v>36379361.49146083</v>
      </c>
      <c r="N1670" s="70"/>
    </row>
    <row r="1671" spans="1:14" x14ac:dyDescent="0.25">
      <c r="A1671" s="43">
        <v>24</v>
      </c>
      <c r="B1671" s="200">
        <f>'N CARRILES HCM'!I101</f>
        <v>521.41168830709307</v>
      </c>
      <c r="C1671" s="95">
        <f t="shared" si="416"/>
        <v>323185930.08572465</v>
      </c>
      <c r="D1671" s="95">
        <f t="shared" si="417"/>
        <v>364582654.395796</v>
      </c>
      <c r="E1671" s="95">
        <f t="shared" si="418"/>
        <v>470638843.48483407</v>
      </c>
      <c r="I1671" s="43">
        <v>25</v>
      </c>
      <c r="J1671" s="95">
        <f t="shared" si="412"/>
        <v>155729705.48633158</v>
      </c>
      <c r="K1671" s="95">
        <f t="shared" si="413"/>
        <v>139681060.16576013</v>
      </c>
      <c r="L1671" s="95">
        <f t="shared" si="414"/>
        <v>332881507.98829639</v>
      </c>
      <c r="M1671" s="300">
        <f t="shared" si="415"/>
        <v>37470742.336204678</v>
      </c>
      <c r="N1671" s="70"/>
    </row>
    <row r="1672" spans="1:14" x14ac:dyDescent="0.25">
      <c r="A1672" s="43">
        <v>25</v>
      </c>
      <c r="B1672" s="200">
        <f>'N CARRILES HCM'!I102</f>
        <v>537.05403895630582</v>
      </c>
      <c r="C1672" s="95">
        <f t="shared" si="416"/>
        <v>332881507.98829639</v>
      </c>
      <c r="D1672" s="95">
        <f t="shared" si="417"/>
        <v>375520134.02766991</v>
      </c>
      <c r="E1672" s="95">
        <f t="shared" si="418"/>
        <v>484758008.78937906</v>
      </c>
      <c r="I1672" s="43">
        <v>26</v>
      </c>
      <c r="J1672" s="95">
        <f t="shared" si="412"/>
        <v>160401596.65092155</v>
      </c>
      <c r="K1672" s="95">
        <f t="shared" si="413"/>
        <v>143871491.97073299</v>
      </c>
      <c r="L1672" s="95">
        <f t="shared" si="414"/>
        <v>342867953.22794539</v>
      </c>
      <c r="M1672" s="300">
        <f t="shared" si="415"/>
        <v>38594864.606290847</v>
      </c>
      <c r="N1672" s="70"/>
    </row>
    <row r="1673" spans="1:14" x14ac:dyDescent="0.25">
      <c r="A1673" s="43">
        <v>26</v>
      </c>
      <c r="B1673" s="200">
        <f>'N CARRILES HCM'!I103</f>
        <v>553.16566012499516</v>
      </c>
      <c r="C1673" s="95">
        <f t="shared" si="416"/>
        <v>342867953.22794539</v>
      </c>
      <c r="D1673" s="95">
        <f t="shared" si="417"/>
        <v>386785738.04850012</v>
      </c>
      <c r="E1673" s="95">
        <f t="shared" si="418"/>
        <v>499300749.05306059</v>
      </c>
      <c r="I1673" s="43">
        <v>27</v>
      </c>
      <c r="J1673" s="95">
        <f t="shared" si="412"/>
        <v>165213644.55044916</v>
      </c>
      <c r="K1673" s="95">
        <f t="shared" si="413"/>
        <v>148187636.72985491</v>
      </c>
      <c r="L1673" s="95">
        <f t="shared" si="414"/>
        <v>353153991.82478362</v>
      </c>
      <c r="M1673" s="300">
        <f t="shared" si="415"/>
        <v>39752710.544479549</v>
      </c>
      <c r="N1673" s="70"/>
    </row>
    <row r="1674" spans="1:14" x14ac:dyDescent="0.25">
      <c r="A1674" s="43">
        <v>27</v>
      </c>
      <c r="B1674" s="200">
        <f>'N CARRILES HCM'!I104</f>
        <v>569.76062992874483</v>
      </c>
      <c r="C1674" s="95">
        <f t="shared" si="416"/>
        <v>353153991.82478362</v>
      </c>
      <c r="D1674" s="95">
        <f t="shared" si="417"/>
        <v>398389310.189955</v>
      </c>
      <c r="E1674" s="95">
        <f t="shared" si="418"/>
        <v>514279771.52465224</v>
      </c>
      <c r="I1674" s="43">
        <v>28</v>
      </c>
      <c r="J1674" s="95">
        <f t="shared" si="412"/>
        <v>170170053.88696268</v>
      </c>
      <c r="K1674" s="95">
        <f t="shared" si="413"/>
        <v>152633265.8317506</v>
      </c>
      <c r="L1674" s="95">
        <f t="shared" si="414"/>
        <v>363748611.5795272</v>
      </c>
      <c r="M1674" s="300">
        <f t="shared" si="415"/>
        <v>40945291.860813916</v>
      </c>
      <c r="N1674" s="70"/>
    </row>
    <row r="1675" spans="1:14" x14ac:dyDescent="0.25">
      <c r="A1675" s="43">
        <v>28</v>
      </c>
      <c r="B1675" s="200">
        <f>'N CARRILES HCM'!I105</f>
        <v>586.85344882660729</v>
      </c>
      <c r="C1675" s="95">
        <f t="shared" si="416"/>
        <v>363748611.5795272</v>
      </c>
      <c r="D1675" s="95">
        <f t="shared" si="417"/>
        <v>410340989.49565375</v>
      </c>
      <c r="E1675" s="95">
        <f t="shared" si="418"/>
        <v>529708164.67039192</v>
      </c>
      <c r="I1675" s="43">
        <v>29</v>
      </c>
      <c r="J1675" s="95">
        <f t="shared" si="412"/>
        <v>175275155.50357154</v>
      </c>
      <c r="K1675" s="95">
        <f t="shared" si="413"/>
        <v>157212263.80670309</v>
      </c>
      <c r="L1675" s="95">
        <f t="shared" si="414"/>
        <v>374661069.92691296</v>
      </c>
      <c r="M1675" s="300">
        <f t="shared" si="415"/>
        <v>42173650.616638333</v>
      </c>
      <c r="N1675" s="70"/>
    </row>
    <row r="1676" spans="1:14" x14ac:dyDescent="0.25">
      <c r="A1676" s="43">
        <v>29</v>
      </c>
      <c r="B1676" s="200">
        <f>'N CARRILES HCM'!I106</f>
        <v>604.45905229140544</v>
      </c>
      <c r="C1676" s="95">
        <f t="shared" si="416"/>
        <v>374661069.92691296</v>
      </c>
      <c r="D1676" s="95">
        <f t="shared" si="417"/>
        <v>422651219.18052328</v>
      </c>
      <c r="E1676" s="95">
        <f t="shared" si="418"/>
        <v>545599409.61050355</v>
      </c>
      <c r="I1676" s="43">
        <v>30</v>
      </c>
      <c r="J1676" s="95">
        <f>IF($B$20="P",C1640,IF($B$20="L",D1640,IF($B$20="M",E1640)))</f>
        <v>180533410.16867864</v>
      </c>
      <c r="K1676" s="95">
        <f t="shared" si="413"/>
        <v>161928631.72090417</v>
      </c>
      <c r="L1676" s="95">
        <f t="shared" si="414"/>
        <v>385900902.02472031</v>
      </c>
      <c r="M1676" s="300">
        <f t="shared" si="415"/>
        <v>43438860.135137498</v>
      </c>
      <c r="N1676" s="70"/>
    </row>
    <row r="1677" spans="1:14" x14ac:dyDescent="0.25">
      <c r="A1677" s="43">
        <v>30</v>
      </c>
      <c r="B1677" s="200">
        <f>'N CARRILES HCM'!I107</f>
        <v>622.59282386014752</v>
      </c>
      <c r="C1677" s="95">
        <f t="shared" si="416"/>
        <v>385900902.02472031</v>
      </c>
      <c r="D1677" s="95">
        <f t="shared" si="417"/>
        <v>435330755.75593895</v>
      </c>
      <c r="E1677" s="95">
        <f t="shared" si="418"/>
        <v>561967391.89881861</v>
      </c>
      <c r="I1677" s="43">
        <v>31</v>
      </c>
      <c r="J1677" s="95">
        <f>IF($B$20="P",C1641,IF($B$20="L",D1641,IF($B$20="M",E1641)))</f>
        <v>185949412.47373906</v>
      </c>
      <c r="K1677" s="95">
        <f>IF($B$57="P",K1641,IF($B$57="L",L1641,IF($B$57="M",M1641)))</f>
        <v>166786490.67253134</v>
      </c>
      <c r="L1677" s="95">
        <f>IF($B$94="P",C1678,IF($B$94="L",D1678,IF($B$94="M",E1678)))</f>
        <v>397477929.08546203</v>
      </c>
      <c r="M1677" s="300">
        <f>L1677-K1677-J1677</f>
        <v>44742025.939191639</v>
      </c>
    </row>
    <row r="1678" spans="1:14" x14ac:dyDescent="0.25">
      <c r="A1678" s="43">
        <v>31</v>
      </c>
      <c r="B1678" s="200">
        <f>'N CARRILES HCM'!I108</f>
        <v>641.27060857595211</v>
      </c>
      <c r="C1678" s="95">
        <f>B1678*365*$G$418*L1604</f>
        <v>397477929.08546203</v>
      </c>
      <c r="D1678" s="95">
        <f>B1678*365*$G$418*M1604</f>
        <v>448390678.42861718</v>
      </c>
      <c r="E1678" s="95">
        <f>B1678*365*$G$418*N1604</f>
        <v>578826413.65578341</v>
      </c>
      <c r="I1678" s="43">
        <v>32</v>
      </c>
      <c r="J1678" s="95">
        <f>IF($B$20="P",C1642,IF($B$20="L",D1642,IF($B$20="M",E1642)))</f>
        <v>191527894.8479512</v>
      </c>
      <c r="K1678" s="95">
        <f>IF($B$57="P",K1642,IF($B$57="L",L1642,IF($B$57="M",M1642)))</f>
        <v>171790085.39270723</v>
      </c>
      <c r="L1678" s="95">
        <f>IF($B$94="P",C1679,IF($B$94="L",D1679,IF($B$94="M",E1679)))</f>
        <v>409402266.95802575</v>
      </c>
      <c r="M1678" s="300">
        <f>L1678-K1678-J1678</f>
        <v>46084286.717367321</v>
      </c>
    </row>
    <row r="1679" spans="1:14" x14ac:dyDescent="0.25">
      <c r="A1679" s="43">
        <v>32</v>
      </c>
      <c r="B1679" s="200">
        <f>'N CARRILES HCM'!I109</f>
        <v>660.50872683323053</v>
      </c>
      <c r="C1679" s="95">
        <f>B1679*365*$G$418*L1605</f>
        <v>409402266.95802575</v>
      </c>
      <c r="D1679" s="95">
        <f>B1679*365*$G$418*M1605</f>
        <v>461842398.78147554</v>
      </c>
      <c r="E1679" s="95">
        <f>B1679*365*$G$418*N1605</f>
        <v>596191206.06545663</v>
      </c>
    </row>
    <row r="1680" spans="1:14" x14ac:dyDescent="0.25">
      <c r="A1680" s="549"/>
      <c r="B1680" s="548"/>
      <c r="C1680" s="108"/>
      <c r="D1680" s="108"/>
      <c r="E1680" s="108"/>
    </row>
    <row r="1681" spans="1:13" x14ac:dyDescent="0.25">
      <c r="A1681" s="549"/>
      <c r="B1681" s="548"/>
      <c r="C1681" s="108"/>
      <c r="D1681" s="108"/>
      <c r="E1681" s="108"/>
    </row>
    <row r="1682" spans="1:13" x14ac:dyDescent="0.25">
      <c r="A1682" s="239" t="s">
        <v>261</v>
      </c>
      <c r="B1682" s="239"/>
      <c r="C1682" s="239"/>
      <c r="D1682" s="239"/>
      <c r="E1682" s="239"/>
    </row>
    <row r="1683" spans="1:13" x14ac:dyDescent="0.25">
      <c r="A1683" t="s">
        <v>243</v>
      </c>
      <c r="I1683" t="s">
        <v>529</v>
      </c>
    </row>
    <row r="1684" spans="1:13" x14ac:dyDescent="0.25">
      <c r="C1684" s="569" t="s">
        <v>246</v>
      </c>
      <c r="D1684" s="569"/>
      <c r="E1684" s="569"/>
      <c r="J1684" s="30" t="s">
        <v>246</v>
      </c>
      <c r="K1684" s="30"/>
      <c r="L1684" s="570" t="s">
        <v>250</v>
      </c>
      <c r="M1684" s="571"/>
    </row>
    <row r="1685" spans="1:13" x14ac:dyDescent="0.25">
      <c r="A1685" s="43" t="s">
        <v>18</v>
      </c>
      <c r="B1685" s="43" t="s">
        <v>263</v>
      </c>
      <c r="C1685" s="298" t="s">
        <v>233</v>
      </c>
      <c r="D1685" s="298" t="s">
        <v>234</v>
      </c>
      <c r="E1685" s="298" t="s">
        <v>235</v>
      </c>
      <c r="I1685" s="43" t="s">
        <v>18</v>
      </c>
      <c r="J1685" s="270" t="s">
        <v>531</v>
      </c>
      <c r="K1685" s="270" t="s">
        <v>90</v>
      </c>
      <c r="L1685" s="572"/>
      <c r="M1685" s="573"/>
    </row>
    <row r="1686" spans="1:13" x14ac:dyDescent="0.25">
      <c r="A1686" s="43">
        <v>0</v>
      </c>
      <c r="B1686" s="69">
        <f>J1610</f>
        <v>128.25</v>
      </c>
      <c r="C1686" s="95">
        <f>B1686*365*$G$207*L1573</f>
        <v>74377374.639750004</v>
      </c>
      <c r="D1686" s="95">
        <f>B1686*365*$G$207*M1573</f>
        <v>89675253.690750018</v>
      </c>
      <c r="E1686" s="95">
        <f>B1686*365*$G$207*N1573</f>
        <v>115761562.37100002</v>
      </c>
      <c r="I1686" s="43">
        <v>0</v>
      </c>
      <c r="J1686" s="200">
        <f>IF($B$20="P",C1686,IF($B$20="L",D1686,IF($B$20="M",E1686)))</f>
        <v>74377374.639750004</v>
      </c>
      <c r="K1686" s="200">
        <f>K1646</f>
        <v>66712452.255540006</v>
      </c>
      <c r="L1686" s="324">
        <f>J1686-K1686</f>
        <v>7664922.384209998</v>
      </c>
      <c r="M1686" s="70"/>
    </row>
    <row r="1687" spans="1:13" x14ac:dyDescent="0.25">
      <c r="A1687" s="43">
        <v>1</v>
      </c>
      <c r="B1687" s="69">
        <f t="shared" ref="B1687:B1718" si="419">J1611</f>
        <v>132.0975</v>
      </c>
      <c r="C1687" s="95">
        <f t="shared" ref="C1687:C1718" si="420">B1687*365*$G$207*L1574</f>
        <v>76608695.878942505</v>
      </c>
      <c r="D1687" s="95">
        <f t="shared" ref="D1687:D1718" si="421">B1687*365*$G$207*M1574</f>
        <v>92365511.301472515</v>
      </c>
      <c r="E1687" s="95">
        <f t="shared" ref="E1687:E1718" si="422">B1687*365*$G$207*N1574</f>
        <v>119234409.24213001</v>
      </c>
      <c r="I1687" s="43">
        <v>1</v>
      </c>
      <c r="J1687" s="200">
        <f t="shared" ref="J1687:J1702" si="423">IF($B$20="P",C1687,IF($B$20="L",D1687,IF($B$20="M",E1687)))</f>
        <v>76608695.878942505</v>
      </c>
      <c r="K1687" s="200">
        <f t="shared" ref="K1687:K1718" si="424">K1647</f>
        <v>68713825.823206201</v>
      </c>
      <c r="L1687" s="324">
        <f t="shared" ref="L1687:L1718" si="425">J1687-K1687</f>
        <v>7894870.0557363033</v>
      </c>
      <c r="M1687" s="70"/>
    </row>
    <row r="1688" spans="1:13" x14ac:dyDescent="0.25">
      <c r="A1688" s="43">
        <v>2</v>
      </c>
      <c r="B1688" s="69">
        <f t="shared" si="419"/>
        <v>136.06042499999998</v>
      </c>
      <c r="C1688" s="95">
        <f t="shared" si="420"/>
        <v>78906956.755310759</v>
      </c>
      <c r="D1688" s="95">
        <f t="shared" si="421"/>
        <v>95136476.640516669</v>
      </c>
      <c r="E1688" s="95">
        <f t="shared" si="422"/>
        <v>122811441.51939389</v>
      </c>
      <c r="I1688" s="43">
        <v>2</v>
      </c>
      <c r="J1688" s="200">
        <f t="shared" si="423"/>
        <v>78906956.755310759</v>
      </c>
      <c r="K1688" s="200">
        <f t="shared" si="424"/>
        <v>70775240.597902372</v>
      </c>
      <c r="L1688" s="324">
        <f t="shared" si="425"/>
        <v>8131716.1574083865</v>
      </c>
      <c r="M1688" s="70"/>
    </row>
    <row r="1689" spans="1:13" x14ac:dyDescent="0.25">
      <c r="A1689" s="43">
        <v>3</v>
      </c>
      <c r="B1689" s="69">
        <f t="shared" si="419"/>
        <v>140.14223774999999</v>
      </c>
      <c r="C1689" s="95">
        <f t="shared" si="420"/>
        <v>81274165.457970098</v>
      </c>
      <c r="D1689" s="95">
        <f t="shared" si="421"/>
        <v>97990570.939732194</v>
      </c>
      <c r="E1689" s="95">
        <f t="shared" si="422"/>
        <v>126495784.76497573</v>
      </c>
      <c r="I1689" s="43">
        <v>3</v>
      </c>
      <c r="J1689" s="200">
        <f t="shared" si="423"/>
        <v>81274165.457970098</v>
      </c>
      <c r="K1689" s="200">
        <f t="shared" si="424"/>
        <v>72898497.815839455</v>
      </c>
      <c r="L1689" s="324">
        <f t="shared" si="425"/>
        <v>8375667.6421306431</v>
      </c>
      <c r="M1689" s="70"/>
    </row>
    <row r="1690" spans="1:13" x14ac:dyDescent="0.25">
      <c r="A1690" s="43">
        <v>4</v>
      </c>
      <c r="B1690" s="69">
        <f t="shared" si="419"/>
        <v>144.3465048825</v>
      </c>
      <c r="C1690" s="95">
        <f t="shared" si="420"/>
        <v>83712390.42170921</v>
      </c>
      <c r="D1690" s="95">
        <f t="shared" si="421"/>
        <v>100930288.06792416</v>
      </c>
      <c r="E1690" s="95">
        <f t="shared" si="422"/>
        <v>130290658.307925</v>
      </c>
      <c r="I1690" s="43">
        <v>4</v>
      </c>
      <c r="J1690" s="200">
        <f t="shared" si="423"/>
        <v>83712390.42170921</v>
      </c>
      <c r="K1690" s="200">
        <f t="shared" si="424"/>
        <v>75085452.750314653</v>
      </c>
      <c r="L1690" s="324">
        <f t="shared" si="425"/>
        <v>8626937.6713945568</v>
      </c>
      <c r="M1690" s="70"/>
    </row>
    <row r="1691" spans="1:13" x14ac:dyDescent="0.25">
      <c r="A1691" s="43">
        <v>5</v>
      </c>
      <c r="B1691" s="69">
        <f t="shared" si="419"/>
        <v>148.67690002897498</v>
      </c>
      <c r="C1691" s="95">
        <f t="shared" si="420"/>
        <v>86223762.134360462</v>
      </c>
      <c r="D1691" s="95">
        <f t="shared" si="421"/>
        <v>103958196.70996186</v>
      </c>
      <c r="E1691" s="95">
        <f t="shared" si="422"/>
        <v>134199378.05716273</v>
      </c>
      <c r="I1691" s="43">
        <v>5</v>
      </c>
      <c r="J1691" s="200">
        <f t="shared" si="423"/>
        <v>86223762.134360462</v>
      </c>
      <c r="K1691" s="200">
        <f t="shared" si="424"/>
        <v>77338016.332824066</v>
      </c>
      <c r="L1691" s="324">
        <f t="shared" si="425"/>
        <v>8885745.8015363961</v>
      </c>
      <c r="M1691" s="70"/>
    </row>
    <row r="1692" spans="1:13" x14ac:dyDescent="0.25">
      <c r="A1692" s="43">
        <v>6</v>
      </c>
      <c r="B1692" s="69">
        <f t="shared" si="419"/>
        <v>153.13720702984423</v>
      </c>
      <c r="C1692" s="95">
        <f t="shared" si="420"/>
        <v>88810474.998391286</v>
      </c>
      <c r="D1692" s="95">
        <f t="shared" si="421"/>
        <v>107076942.61126073</v>
      </c>
      <c r="E1692" s="95">
        <f t="shared" si="422"/>
        <v>138225359.39887762</v>
      </c>
      <c r="I1692" s="43">
        <v>6</v>
      </c>
      <c r="J1692" s="200">
        <f t="shared" si="423"/>
        <v>88810474.998391286</v>
      </c>
      <c r="K1692" s="200">
        <f t="shared" si="424"/>
        <v>79658156.822808802</v>
      </c>
      <c r="L1692" s="324">
        <f t="shared" si="425"/>
        <v>9152318.1755824834</v>
      </c>
      <c r="M1692" s="70"/>
    </row>
    <row r="1693" spans="1:13" x14ac:dyDescent="0.25">
      <c r="A1693" s="43">
        <v>7</v>
      </c>
      <c r="B1693" s="69">
        <f t="shared" si="419"/>
        <v>157.73132324073958</v>
      </c>
      <c r="C1693" s="95">
        <f t="shared" si="420"/>
        <v>91474789.248343036</v>
      </c>
      <c r="D1693" s="95">
        <f t="shared" si="421"/>
        <v>110289250.88959856</v>
      </c>
      <c r="E1693" s="95">
        <f t="shared" si="422"/>
        <v>142372120.18084398</v>
      </c>
      <c r="I1693" s="43">
        <v>7</v>
      </c>
      <c r="J1693" s="200">
        <f t="shared" si="423"/>
        <v>91474789.248343036</v>
      </c>
      <c r="K1693" s="200">
        <f t="shared" si="424"/>
        <v>82047901.527493075</v>
      </c>
      <c r="L1693" s="324">
        <f t="shared" si="425"/>
        <v>9426887.720849961</v>
      </c>
      <c r="M1693" s="70"/>
    </row>
    <row r="1694" spans="1:13" x14ac:dyDescent="0.25">
      <c r="A1694" s="43">
        <v>8</v>
      </c>
      <c r="B1694" s="69">
        <f t="shared" si="419"/>
        <v>162.46326293796173</v>
      </c>
      <c r="C1694" s="95">
        <f t="shared" si="420"/>
        <v>94219032.925793305</v>
      </c>
      <c r="D1694" s="95">
        <f t="shared" si="421"/>
        <v>113597928.4162865</v>
      </c>
      <c r="E1694" s="95">
        <f t="shared" si="422"/>
        <v>146643283.78626925</v>
      </c>
      <c r="I1694" s="43">
        <v>8</v>
      </c>
      <c r="J1694" s="200">
        <f t="shared" si="423"/>
        <v>94219032.925793305</v>
      </c>
      <c r="K1694" s="200">
        <f t="shared" si="424"/>
        <v>84509338.573317841</v>
      </c>
      <c r="L1694" s="324">
        <f t="shared" si="425"/>
        <v>9709694.3524754643</v>
      </c>
      <c r="M1694" s="70"/>
    </row>
    <row r="1695" spans="1:13" x14ac:dyDescent="0.25">
      <c r="A1695" s="43">
        <v>9</v>
      </c>
      <c r="B1695" s="69">
        <f t="shared" si="419"/>
        <v>167.33716082610061</v>
      </c>
      <c r="C1695" s="95">
        <f t="shared" si="420"/>
        <v>97045603.913567126</v>
      </c>
      <c r="D1695" s="95">
        <f t="shared" si="421"/>
        <v>117005866.26877512</v>
      </c>
      <c r="E1695" s="95">
        <f t="shared" si="422"/>
        <v>151042582.29985738</v>
      </c>
      <c r="I1695" s="43">
        <v>9</v>
      </c>
      <c r="J1695" s="200">
        <f t="shared" si="423"/>
        <v>97045603.913567126</v>
      </c>
      <c r="K1695" s="200">
        <f t="shared" si="424"/>
        <v>87044618.730517402</v>
      </c>
      <c r="L1695" s="324">
        <f t="shared" si="425"/>
        <v>10000985.183049724</v>
      </c>
      <c r="M1695" s="70"/>
    </row>
    <row r="1696" spans="1:13" x14ac:dyDescent="0.25">
      <c r="A1696" s="43">
        <v>10</v>
      </c>
      <c r="B1696" s="69">
        <f t="shared" si="419"/>
        <v>172.35727565088362</v>
      </c>
      <c r="C1696" s="95">
        <f t="shared" si="420"/>
        <v>99956972.030974135</v>
      </c>
      <c r="D1696" s="95">
        <f t="shared" si="421"/>
        <v>120516042.25683835</v>
      </c>
      <c r="E1696" s="95">
        <f t="shared" si="422"/>
        <v>155573859.76885307</v>
      </c>
      <c r="I1696" s="43">
        <v>10</v>
      </c>
      <c r="J1696" s="200">
        <f t="shared" si="423"/>
        <v>99956972.030974135</v>
      </c>
      <c r="K1696" s="200">
        <f t="shared" si="424"/>
        <v>89655957.292432904</v>
      </c>
      <c r="L1696" s="324">
        <f t="shared" si="425"/>
        <v>10301014.738541231</v>
      </c>
      <c r="M1696" s="70"/>
    </row>
    <row r="1697" spans="1:13" x14ac:dyDescent="0.25">
      <c r="A1697" s="43">
        <v>11</v>
      </c>
      <c r="B1697" s="69">
        <f t="shared" si="419"/>
        <v>177.52799392041013</v>
      </c>
      <c r="C1697" s="95">
        <f t="shared" si="420"/>
        <v>102955681.19190335</v>
      </c>
      <c r="D1697" s="95">
        <f t="shared" si="421"/>
        <v>124131523.52454349</v>
      </c>
      <c r="E1697" s="95">
        <f t="shared" si="422"/>
        <v>160241075.56191865</v>
      </c>
      <c r="I1697" s="43">
        <v>11</v>
      </c>
      <c r="J1697" s="200">
        <f t="shared" si="423"/>
        <v>102955681.19190335</v>
      </c>
      <c r="K1697" s="200">
        <f t="shared" si="424"/>
        <v>92345636.011205882</v>
      </c>
      <c r="L1697" s="324">
        <f t="shared" si="425"/>
        <v>10610045.180697471</v>
      </c>
      <c r="M1697" s="70"/>
    </row>
    <row r="1698" spans="1:13" x14ac:dyDescent="0.25">
      <c r="A1698" s="43">
        <v>12</v>
      </c>
      <c r="B1698" s="69">
        <f t="shared" si="419"/>
        <v>182.85383373802242</v>
      </c>
      <c r="C1698" s="95">
        <f t="shared" si="420"/>
        <v>113338054.46179011</v>
      </c>
      <c r="D1698" s="95">
        <f t="shared" si="421"/>
        <v>127855469.2302798</v>
      </c>
      <c r="E1698" s="95">
        <f t="shared" si="422"/>
        <v>165048307.82877624</v>
      </c>
      <c r="I1698" s="43">
        <v>12</v>
      </c>
      <c r="J1698" s="200">
        <f t="shared" si="423"/>
        <v>113338054.46179011</v>
      </c>
      <c r="K1698" s="200">
        <f t="shared" si="424"/>
        <v>95116005.091542065</v>
      </c>
      <c r="L1698" s="324">
        <f t="shared" si="425"/>
        <v>18222049.370248049</v>
      </c>
      <c r="M1698" s="70"/>
    </row>
    <row r="1699" spans="1:13" x14ac:dyDescent="0.25">
      <c r="A1699" s="43">
        <v>13</v>
      </c>
      <c r="B1699" s="69">
        <f t="shared" si="419"/>
        <v>188.33944875016309</v>
      </c>
      <c r="C1699" s="95">
        <f t="shared" si="420"/>
        <v>116738196.0956438</v>
      </c>
      <c r="D1699" s="95">
        <f t="shared" si="421"/>
        <v>131691133.3071882</v>
      </c>
      <c r="E1699" s="95">
        <f t="shared" si="422"/>
        <v>169999757.06363949</v>
      </c>
      <c r="I1699" s="43">
        <v>13</v>
      </c>
      <c r="J1699" s="200">
        <f t="shared" si="423"/>
        <v>116738196.0956438</v>
      </c>
      <c r="K1699" s="200">
        <f t="shared" si="424"/>
        <v>97969485.244288325</v>
      </c>
      <c r="L1699" s="324">
        <f t="shared" si="425"/>
        <v>18768710.851355478</v>
      </c>
      <c r="M1699" s="70"/>
    </row>
    <row r="1700" spans="1:13" x14ac:dyDescent="0.25">
      <c r="A1700" s="43">
        <v>14</v>
      </c>
      <c r="B1700" s="69">
        <f t="shared" si="419"/>
        <v>193.989632212668</v>
      </c>
      <c r="C1700" s="95">
        <f t="shared" si="420"/>
        <v>120240341.97851312</v>
      </c>
      <c r="D1700" s="95">
        <f t="shared" si="421"/>
        <v>135641867.30640385</v>
      </c>
      <c r="E1700" s="95">
        <f t="shared" si="422"/>
        <v>175099749.7755487</v>
      </c>
      <c r="I1700" s="43">
        <v>14</v>
      </c>
      <c r="J1700" s="200">
        <f t="shared" si="423"/>
        <v>120240341.97851312</v>
      </c>
      <c r="K1700" s="200">
        <f t="shared" si="424"/>
        <v>100908569.801617</v>
      </c>
      <c r="L1700" s="324">
        <f t="shared" si="425"/>
        <v>19331772.176896125</v>
      </c>
      <c r="M1700" s="70"/>
    </row>
    <row r="1701" spans="1:13" x14ac:dyDescent="0.25">
      <c r="A1701" s="43">
        <v>15</v>
      </c>
      <c r="B1701" s="69">
        <f t="shared" si="419"/>
        <v>199.80932117904803</v>
      </c>
      <c r="C1701" s="95">
        <f t="shared" si="420"/>
        <v>123847552.2378685</v>
      </c>
      <c r="D1701" s="95">
        <f t="shared" si="421"/>
        <v>139711123.32559595</v>
      </c>
      <c r="E1701" s="95">
        <f t="shared" si="422"/>
        <v>180352742.26881513</v>
      </c>
      <c r="I1701" s="43">
        <v>15</v>
      </c>
      <c r="J1701" s="200">
        <f t="shared" si="423"/>
        <v>123847552.2378685</v>
      </c>
      <c r="K1701" s="200">
        <f t="shared" si="424"/>
        <v>103935826.8956655</v>
      </c>
      <c r="L1701" s="324">
        <f t="shared" si="425"/>
        <v>19911725.342203006</v>
      </c>
      <c r="M1701" s="70"/>
    </row>
    <row r="1702" spans="1:13" x14ac:dyDescent="0.25">
      <c r="A1702" s="43">
        <v>16</v>
      </c>
      <c r="B1702" s="69">
        <f t="shared" si="419"/>
        <v>205.80360081441944</v>
      </c>
      <c r="C1702" s="95">
        <f t="shared" si="420"/>
        <v>127562978.80500454</v>
      </c>
      <c r="D1702" s="95">
        <f t="shared" si="421"/>
        <v>143902457.0253638</v>
      </c>
      <c r="E1702" s="95">
        <f t="shared" si="422"/>
        <v>185763324.53687954</v>
      </c>
      <c r="I1702" s="43">
        <v>16</v>
      </c>
      <c r="J1702" s="200">
        <f t="shared" si="423"/>
        <v>127562978.80500454</v>
      </c>
      <c r="K1702" s="200">
        <f t="shared" si="424"/>
        <v>107053901.70253545</v>
      </c>
      <c r="L1702" s="324">
        <f t="shared" si="425"/>
        <v>20509077.102469087</v>
      </c>
      <c r="M1702" s="70"/>
    </row>
    <row r="1703" spans="1:13" x14ac:dyDescent="0.25">
      <c r="A1703" s="43">
        <v>17</v>
      </c>
      <c r="B1703" s="69">
        <f t="shared" si="419"/>
        <v>211.97770883885204</v>
      </c>
      <c r="C1703" s="95">
        <f t="shared" si="420"/>
        <v>131389868.16915469</v>
      </c>
      <c r="D1703" s="95">
        <f t="shared" si="421"/>
        <v>148219530.73612472</v>
      </c>
      <c r="E1703" s="95">
        <f t="shared" si="422"/>
        <v>191336224.27298597</v>
      </c>
      <c r="I1703" s="43">
        <v>17</v>
      </c>
      <c r="J1703" s="200">
        <f>IF($B$20="P",C1703,IF($B$20="L",D1703,IF($B$20="M",E1703)))</f>
        <v>131389868.16915469</v>
      </c>
      <c r="K1703" s="200">
        <f t="shared" si="424"/>
        <v>110265518.75361152</v>
      </c>
      <c r="L1703" s="324">
        <f t="shared" si="425"/>
        <v>21124349.415543169</v>
      </c>
      <c r="M1703" s="70"/>
    </row>
    <row r="1704" spans="1:13" x14ac:dyDescent="0.25">
      <c r="A1704" s="43">
        <v>18</v>
      </c>
      <c r="B1704" s="69">
        <f t="shared" si="419"/>
        <v>218.3370401040176</v>
      </c>
      <c r="C1704" s="95">
        <f t="shared" si="420"/>
        <v>135331564.21422935</v>
      </c>
      <c r="D1704" s="95">
        <f t="shared" si="421"/>
        <v>152666116.65820849</v>
      </c>
      <c r="E1704" s="95">
        <f t="shared" si="422"/>
        <v>197076311.00117555</v>
      </c>
      <c r="I1704" s="43">
        <v>18</v>
      </c>
      <c r="J1704" s="200">
        <f t="shared" ref="J1704:J1718" si="426">IF($B$20="P",C1704,IF($B$20="L",D1704,IF($B$20="M",E1704)))</f>
        <v>135331564.21422935</v>
      </c>
      <c r="K1704" s="200">
        <f t="shared" si="424"/>
        <v>113573484.31621985</v>
      </c>
      <c r="L1704" s="324">
        <f t="shared" si="425"/>
        <v>21758079.898009494</v>
      </c>
      <c r="M1704" s="70"/>
    </row>
    <row r="1705" spans="1:13" x14ac:dyDescent="0.25">
      <c r="A1705" s="43">
        <v>19</v>
      </c>
      <c r="B1705" s="69">
        <f t="shared" si="419"/>
        <v>224.88715130713811</v>
      </c>
      <c r="C1705" s="95">
        <f t="shared" si="420"/>
        <v>139391511.1406562</v>
      </c>
      <c r="D1705" s="95">
        <f t="shared" si="421"/>
        <v>157246100.15795472</v>
      </c>
      <c r="E1705" s="95">
        <f t="shared" si="422"/>
        <v>202988600.33121079</v>
      </c>
      <c r="I1705" s="43">
        <v>19</v>
      </c>
      <c r="J1705" s="200">
        <f t="shared" si="426"/>
        <v>139391511.1406562</v>
      </c>
      <c r="K1705" s="200">
        <f t="shared" si="424"/>
        <v>116980688.84570645</v>
      </c>
      <c r="L1705" s="324">
        <f t="shared" si="425"/>
        <v>22410822.294949755</v>
      </c>
      <c r="M1705" s="70"/>
    </row>
    <row r="1706" spans="1:13" x14ac:dyDescent="0.25">
      <c r="A1706" s="43">
        <v>20</v>
      </c>
      <c r="B1706" s="69">
        <f t="shared" si="419"/>
        <v>231.63376584635225</v>
      </c>
      <c r="C1706" s="95">
        <f t="shared" si="420"/>
        <v>143573256.47487587</v>
      </c>
      <c r="D1706" s="95">
        <f t="shared" si="421"/>
        <v>161963483.16269335</v>
      </c>
      <c r="E1706" s="95">
        <f t="shared" si="422"/>
        <v>209078258.34114712</v>
      </c>
      <c r="I1706" s="43">
        <v>20</v>
      </c>
      <c r="J1706" s="200">
        <f t="shared" si="426"/>
        <v>143573256.47487587</v>
      </c>
      <c r="K1706" s="200">
        <f t="shared" si="424"/>
        <v>120490109.51107763</v>
      </c>
      <c r="L1706" s="324">
        <f t="shared" si="425"/>
        <v>23083146.96379824</v>
      </c>
      <c r="M1706" s="70"/>
    </row>
    <row r="1707" spans="1:13" x14ac:dyDescent="0.25">
      <c r="A1707" s="43">
        <v>21</v>
      </c>
      <c r="B1707" s="69">
        <f t="shared" si="419"/>
        <v>238.58277882174278</v>
      </c>
      <c r="C1707" s="95">
        <f t="shared" si="420"/>
        <v>147880454.16912213</v>
      </c>
      <c r="D1707" s="95">
        <f t="shared" si="421"/>
        <v>166822387.65757415</v>
      </c>
      <c r="E1707" s="95">
        <f t="shared" si="422"/>
        <v>215350606.09138149</v>
      </c>
      <c r="I1707" s="43">
        <v>21</v>
      </c>
      <c r="J1707" s="200">
        <f t="shared" si="426"/>
        <v>147880454.16912213</v>
      </c>
      <c r="K1707" s="200">
        <f t="shared" si="424"/>
        <v>124104812.79640995</v>
      </c>
      <c r="L1707" s="324">
        <f t="shared" si="425"/>
        <v>23775641.37271218</v>
      </c>
      <c r="M1707" s="70"/>
    </row>
    <row r="1708" spans="1:13" x14ac:dyDescent="0.25">
      <c r="A1708" s="43">
        <v>22</v>
      </c>
      <c r="B1708" s="69">
        <f t="shared" si="419"/>
        <v>245.74026218639509</v>
      </c>
      <c r="C1708" s="95">
        <f t="shared" si="420"/>
        <v>152316867.79419583</v>
      </c>
      <c r="D1708" s="95">
        <f t="shared" si="421"/>
        <v>171827059.28730136</v>
      </c>
      <c r="E1708" s="95">
        <f t="shared" si="422"/>
        <v>221811124.27412298</v>
      </c>
      <c r="I1708" s="43">
        <v>22</v>
      </c>
      <c r="J1708" s="200">
        <f t="shared" si="426"/>
        <v>152316867.79419583</v>
      </c>
      <c r="K1708" s="200">
        <f t="shared" si="424"/>
        <v>127827957.18030228</v>
      </c>
      <c r="L1708" s="324">
        <f t="shared" si="425"/>
        <v>24488910.613893554</v>
      </c>
      <c r="M1708" s="70"/>
    </row>
    <row r="1709" spans="1:13" x14ac:dyDescent="0.25">
      <c r="A1709" s="43">
        <v>23</v>
      </c>
      <c r="B1709" s="69">
        <f t="shared" si="419"/>
        <v>253.11247005198697</v>
      </c>
      <c r="C1709" s="95">
        <f t="shared" si="420"/>
        <v>156886373.82802173</v>
      </c>
      <c r="D1709" s="95">
        <f t="shared" si="421"/>
        <v>176981871.06592044</v>
      </c>
      <c r="E1709" s="95">
        <f t="shared" si="422"/>
        <v>228465458.00234669</v>
      </c>
      <c r="I1709" s="43">
        <v>23</v>
      </c>
      <c r="J1709" s="200">
        <f t="shared" si="426"/>
        <v>156886373.82802173</v>
      </c>
      <c r="K1709" s="200">
        <f t="shared" si="424"/>
        <v>131662795.89571133</v>
      </c>
      <c r="L1709" s="324">
        <f t="shared" si="425"/>
        <v>25223577.932310402</v>
      </c>
      <c r="M1709" s="70"/>
    </row>
    <row r="1710" spans="1:13" x14ac:dyDescent="0.25">
      <c r="A1710" s="43">
        <v>24</v>
      </c>
      <c r="B1710" s="69">
        <f t="shared" si="419"/>
        <v>260.70584415354654</v>
      </c>
      <c r="C1710" s="95">
        <f t="shared" si="420"/>
        <v>161592965.04286233</v>
      </c>
      <c r="D1710" s="95">
        <f t="shared" si="421"/>
        <v>182291327.197898</v>
      </c>
      <c r="E1710" s="95">
        <f t="shared" si="422"/>
        <v>235319421.74241704</v>
      </c>
      <c r="I1710" s="43">
        <v>24</v>
      </c>
      <c r="J1710" s="200">
        <f t="shared" si="426"/>
        <v>161592965.04286233</v>
      </c>
      <c r="K1710" s="200">
        <f t="shared" si="424"/>
        <v>135612679.77258265</v>
      </c>
      <c r="L1710" s="324">
        <f t="shared" si="425"/>
        <v>25980285.270279676</v>
      </c>
      <c r="M1710" s="70"/>
    </row>
    <row r="1711" spans="1:13" x14ac:dyDescent="0.25">
      <c r="A1711" s="43">
        <v>25</v>
      </c>
      <c r="B1711" s="69">
        <f t="shared" si="419"/>
        <v>268.52701947815291</v>
      </c>
      <c r="C1711" s="95">
        <f t="shared" si="420"/>
        <v>166440753.99414819</v>
      </c>
      <c r="D1711" s="95">
        <f t="shared" si="421"/>
        <v>187760067.01383495</v>
      </c>
      <c r="E1711" s="95">
        <f t="shared" si="422"/>
        <v>242379004.39468953</v>
      </c>
      <c r="I1711" s="43">
        <v>25</v>
      </c>
      <c r="J1711" s="200">
        <f t="shared" si="426"/>
        <v>166440753.99414819</v>
      </c>
      <c r="K1711" s="200">
        <f t="shared" si="424"/>
        <v>139681060.16576013</v>
      </c>
      <c r="L1711" s="324">
        <f t="shared" si="425"/>
        <v>26759693.828388065</v>
      </c>
      <c r="M1711" s="70"/>
    </row>
    <row r="1712" spans="1:13" x14ac:dyDescent="0.25">
      <c r="A1712" s="43">
        <v>26</v>
      </c>
      <c r="B1712" s="69">
        <f t="shared" si="419"/>
        <v>276.58283006249758</v>
      </c>
      <c r="C1712" s="95">
        <f t="shared" si="420"/>
        <v>171433976.61397269</v>
      </c>
      <c r="D1712" s="95">
        <f t="shared" si="421"/>
        <v>193392869.02425006</v>
      </c>
      <c r="E1712" s="95">
        <f t="shared" si="422"/>
        <v>249650374.5265303</v>
      </c>
      <c r="I1712" s="43">
        <v>26</v>
      </c>
      <c r="J1712" s="200">
        <f t="shared" si="426"/>
        <v>171433976.61397269</v>
      </c>
      <c r="K1712" s="200">
        <f t="shared" si="424"/>
        <v>143871491.97073299</v>
      </c>
      <c r="L1712" s="324">
        <f t="shared" si="425"/>
        <v>27562484.643239707</v>
      </c>
      <c r="M1712" s="70"/>
    </row>
    <row r="1713" spans="1:13" x14ac:dyDescent="0.25">
      <c r="A1713" s="43">
        <v>27</v>
      </c>
      <c r="B1713" s="69">
        <f t="shared" si="419"/>
        <v>284.88031496437242</v>
      </c>
      <c r="C1713" s="95">
        <f t="shared" si="420"/>
        <v>176576995.91239181</v>
      </c>
      <c r="D1713" s="95">
        <f t="shared" si="421"/>
        <v>199194655.0949775</v>
      </c>
      <c r="E1713" s="95">
        <f t="shared" si="422"/>
        <v>257139885.76232612</v>
      </c>
      <c r="I1713" s="43">
        <v>27</v>
      </c>
      <c r="J1713" s="200">
        <f t="shared" si="426"/>
        <v>176576995.91239181</v>
      </c>
      <c r="K1713" s="200">
        <f t="shared" si="424"/>
        <v>148187636.72985491</v>
      </c>
      <c r="L1713" s="324">
        <f t="shared" si="425"/>
        <v>28389359.1825369</v>
      </c>
      <c r="M1713" s="70"/>
    </row>
    <row r="1714" spans="1:13" x14ac:dyDescent="0.25">
      <c r="A1714" s="43">
        <v>28</v>
      </c>
      <c r="B1714" s="69">
        <f t="shared" si="419"/>
        <v>293.42672441330365</v>
      </c>
      <c r="C1714" s="95">
        <f t="shared" si="420"/>
        <v>181874305.7897636</v>
      </c>
      <c r="D1714" s="95">
        <f t="shared" si="421"/>
        <v>205170494.74782687</v>
      </c>
      <c r="E1714" s="95">
        <f t="shared" si="422"/>
        <v>264854082.33519596</v>
      </c>
      <c r="I1714" s="43">
        <v>28</v>
      </c>
      <c r="J1714" s="200">
        <f t="shared" si="426"/>
        <v>181874305.7897636</v>
      </c>
      <c r="K1714" s="200">
        <f t="shared" si="424"/>
        <v>152633265.8317506</v>
      </c>
      <c r="L1714" s="324">
        <f t="shared" si="425"/>
        <v>29241039.958012998</v>
      </c>
      <c r="M1714" s="70"/>
    </row>
    <row r="1715" spans="1:13" x14ac:dyDescent="0.25">
      <c r="A1715" s="43">
        <v>29</v>
      </c>
      <c r="B1715" s="69">
        <f t="shared" si="419"/>
        <v>302.22952614570272</v>
      </c>
      <c r="C1715" s="95">
        <f t="shared" si="420"/>
        <v>187330534.96345648</v>
      </c>
      <c r="D1715" s="95">
        <f t="shared" si="421"/>
        <v>211325609.59026164</v>
      </c>
      <c r="E1715" s="95">
        <f t="shared" si="422"/>
        <v>272799704.80525178</v>
      </c>
      <c r="I1715" s="43">
        <v>29</v>
      </c>
      <c r="J1715" s="200">
        <f t="shared" si="426"/>
        <v>187330534.96345648</v>
      </c>
      <c r="K1715" s="200">
        <f t="shared" si="424"/>
        <v>157212263.80670309</v>
      </c>
      <c r="L1715" s="324">
        <f t="shared" si="425"/>
        <v>30118271.156753391</v>
      </c>
      <c r="M1715" s="70"/>
    </row>
    <row r="1716" spans="1:13" x14ac:dyDescent="0.25">
      <c r="A1716" s="43">
        <v>30</v>
      </c>
      <c r="B1716" s="69">
        <f t="shared" si="419"/>
        <v>311.29641193007376</v>
      </c>
      <c r="C1716" s="95">
        <f t="shared" si="420"/>
        <v>192950451.01236016</v>
      </c>
      <c r="D1716" s="95">
        <f t="shared" si="421"/>
        <v>217665377.87796947</v>
      </c>
      <c r="E1716" s="95">
        <f t="shared" si="422"/>
        <v>280983695.94940931</v>
      </c>
      <c r="I1716" s="43">
        <v>30</v>
      </c>
      <c r="J1716" s="200">
        <f t="shared" si="426"/>
        <v>192950451.01236016</v>
      </c>
      <c r="K1716" s="200">
        <f t="shared" si="424"/>
        <v>161928631.72090417</v>
      </c>
      <c r="L1716" s="324">
        <f t="shared" si="425"/>
        <v>31021819.291455984</v>
      </c>
      <c r="M1716" s="70"/>
    </row>
    <row r="1717" spans="1:13" x14ac:dyDescent="0.25">
      <c r="A1717" s="43">
        <v>31</v>
      </c>
      <c r="B1717" s="69">
        <f t="shared" si="419"/>
        <v>320.63530428797606</v>
      </c>
      <c r="C1717" s="95">
        <f t="shared" si="420"/>
        <v>198738964.54273102</v>
      </c>
      <c r="D1717" s="95">
        <f t="shared" si="421"/>
        <v>224195339.21430859</v>
      </c>
      <c r="E1717" s="95">
        <f t="shared" si="422"/>
        <v>289413206.82789171</v>
      </c>
      <c r="I1717" s="43">
        <v>31</v>
      </c>
      <c r="J1717" s="200">
        <f t="shared" si="426"/>
        <v>198738964.54273102</v>
      </c>
      <c r="K1717" s="200">
        <f t="shared" si="424"/>
        <v>166786490.67253134</v>
      </c>
      <c r="L1717" s="324">
        <f t="shared" si="425"/>
        <v>31952473.87019968</v>
      </c>
    </row>
    <row r="1718" spans="1:13" x14ac:dyDescent="0.25">
      <c r="A1718" s="43">
        <v>32</v>
      </c>
      <c r="B1718" s="69">
        <f t="shared" si="419"/>
        <v>330.25436341661526</v>
      </c>
      <c r="C1718" s="95">
        <f t="shared" si="420"/>
        <v>204701133.47901288</v>
      </c>
      <c r="D1718" s="95">
        <f t="shared" si="421"/>
        <v>230921199.39073777</v>
      </c>
      <c r="E1718" s="95">
        <f t="shared" si="422"/>
        <v>298095603.03272831</v>
      </c>
      <c r="I1718" s="43">
        <v>32</v>
      </c>
      <c r="J1718" s="200">
        <f t="shared" si="426"/>
        <v>204701133.47901288</v>
      </c>
      <c r="K1718" s="200">
        <f t="shared" si="424"/>
        <v>171790085.39270723</v>
      </c>
      <c r="L1718" s="324">
        <f t="shared" si="425"/>
        <v>32911048.086305648</v>
      </c>
    </row>
    <row r="1719" spans="1:13" x14ac:dyDescent="0.25">
      <c r="A1719" s="549"/>
      <c r="B1719" s="548"/>
      <c r="C1719" s="108"/>
      <c r="D1719" s="108"/>
      <c r="E1719" s="108"/>
    </row>
    <row r="1720" spans="1:13" x14ac:dyDescent="0.25">
      <c r="A1720" s="549"/>
      <c r="B1720" s="548"/>
      <c r="C1720" s="108"/>
      <c r="D1720" s="108"/>
      <c r="E1720" s="108"/>
    </row>
    <row r="1721" spans="1:13" x14ac:dyDescent="0.25">
      <c r="A1721" s="47" t="s">
        <v>301</v>
      </c>
      <c r="B1721" s="47"/>
      <c r="F1721" s="108"/>
      <c r="G1721" s="47" t="s">
        <v>532</v>
      </c>
      <c r="H1721" s="47"/>
      <c r="J1721" s="108"/>
      <c r="K1721" s="108"/>
    </row>
    <row r="1722" spans="1:13" x14ac:dyDescent="0.25">
      <c r="A1722" s="105" t="s">
        <v>18</v>
      </c>
      <c r="B1722" s="105" t="s">
        <v>302</v>
      </c>
      <c r="F1722" s="47"/>
      <c r="G1722" s="105" t="s">
        <v>18</v>
      </c>
      <c r="H1722" s="105" t="s">
        <v>302</v>
      </c>
      <c r="J1722" s="47"/>
      <c r="K1722" s="47"/>
    </row>
    <row r="1723" spans="1:13" x14ac:dyDescent="0.25">
      <c r="A1723" s="105">
        <v>0</v>
      </c>
      <c r="B1723" s="550">
        <f>M1646+M1400+M1154+M909+M664+M420+M171</f>
        <v>212586919.26806247</v>
      </c>
      <c r="F1723" s="47"/>
      <c r="G1723" s="105">
        <v>0</v>
      </c>
      <c r="H1723" s="550">
        <f>L1686+L1440+L1194+L949+L704+L460+L209</f>
        <v>73155795.204239979</v>
      </c>
      <c r="J1723" s="47"/>
      <c r="K1723" s="47"/>
    </row>
    <row r="1724" spans="1:13" x14ac:dyDescent="0.25">
      <c r="A1724" s="105">
        <v>1</v>
      </c>
      <c r="B1724" s="550">
        <f t="shared" ref="B1724:B1755" si="427">M1647+M1401+M1155+M910+M665+M421+M172</f>
        <v>113999413.88659795</v>
      </c>
      <c r="F1724" s="47"/>
      <c r="G1724" s="105">
        <v>1</v>
      </c>
      <c r="H1724" s="550">
        <f t="shared" ref="H1724:H1755" si="428">L1687+L1441+L1195+L950+L705+L461+L210</f>
        <v>75356711.628912002</v>
      </c>
      <c r="J1724" s="47"/>
      <c r="K1724" s="47"/>
    </row>
    <row r="1725" spans="1:13" x14ac:dyDescent="0.25">
      <c r="A1725" s="105">
        <v>2</v>
      </c>
      <c r="B1725" s="550">
        <f t="shared" si="427"/>
        <v>117419396.30319592</v>
      </c>
      <c r="F1725" s="47"/>
      <c r="G1725" s="105">
        <v>2</v>
      </c>
      <c r="H1725" s="550">
        <f t="shared" si="428"/>
        <v>77617412.977779418</v>
      </c>
      <c r="J1725" s="47"/>
      <c r="K1725" s="47"/>
    </row>
    <row r="1726" spans="1:13" x14ac:dyDescent="0.25">
      <c r="A1726" s="105">
        <v>3</v>
      </c>
      <c r="B1726" s="550">
        <f t="shared" si="427"/>
        <v>120941978.19229183</v>
      </c>
      <c r="F1726" s="47"/>
      <c r="G1726" s="105">
        <v>3</v>
      </c>
      <c r="H1726" s="550">
        <f t="shared" si="428"/>
        <v>79945935.367112756</v>
      </c>
      <c r="J1726" s="47"/>
      <c r="K1726" s="47"/>
    </row>
    <row r="1727" spans="1:13" x14ac:dyDescent="0.25">
      <c r="A1727" s="105">
        <v>4</v>
      </c>
      <c r="B1727" s="550">
        <f t="shared" si="427"/>
        <v>124570237.53806041</v>
      </c>
      <c r="F1727" s="47"/>
      <c r="G1727" s="105">
        <v>4</v>
      </c>
      <c r="H1727" s="550">
        <f t="shared" si="428"/>
        <v>82344313.428126082</v>
      </c>
      <c r="J1727" s="47"/>
      <c r="K1727" s="47"/>
    </row>
    <row r="1728" spans="1:13" x14ac:dyDescent="0.25">
      <c r="A1728" s="105">
        <v>5</v>
      </c>
      <c r="B1728" s="550">
        <f t="shared" si="427"/>
        <v>128307344.66420235</v>
      </c>
      <c r="F1728" s="47"/>
      <c r="G1728" s="105">
        <v>5</v>
      </c>
      <c r="H1728" s="550">
        <f t="shared" si="428"/>
        <v>84814642.830969959</v>
      </c>
      <c r="J1728" s="47"/>
      <c r="K1728" s="47"/>
    </row>
    <row r="1729" spans="1:11" x14ac:dyDescent="0.25">
      <c r="A1729" s="105">
        <v>6</v>
      </c>
      <c r="B1729" s="550">
        <f t="shared" si="427"/>
        <v>132156565.00412852</v>
      </c>
      <c r="F1729" s="47"/>
      <c r="G1729" s="105">
        <v>6</v>
      </c>
      <c r="H1729" s="550">
        <f t="shared" si="428"/>
        <v>87359082.115899086</v>
      </c>
      <c r="J1729" s="47"/>
      <c r="K1729" s="47"/>
    </row>
    <row r="1730" spans="1:11" x14ac:dyDescent="0.25">
      <c r="A1730" s="105">
        <v>7</v>
      </c>
      <c r="B1730" s="550">
        <f t="shared" si="427"/>
        <v>136121261.95425218</v>
      </c>
      <c r="F1730" s="47"/>
      <c r="G1730" s="105">
        <v>7</v>
      </c>
      <c r="H1730" s="550">
        <f t="shared" si="428"/>
        <v>89979854.579375938</v>
      </c>
      <c r="J1730" s="47"/>
      <c r="K1730" s="47"/>
    </row>
    <row r="1731" spans="1:11" x14ac:dyDescent="0.25">
      <c r="A1731" s="105">
        <v>8</v>
      </c>
      <c r="B1731" s="550">
        <f t="shared" si="427"/>
        <v>138525575.11965251</v>
      </c>
      <c r="F1731" s="47"/>
      <c r="G1731" s="105">
        <v>8</v>
      </c>
      <c r="H1731" s="550">
        <f t="shared" si="428"/>
        <v>92679250.216757193</v>
      </c>
      <c r="J1731" s="47"/>
      <c r="K1731" s="47"/>
    </row>
    <row r="1732" spans="1:11" x14ac:dyDescent="0.25">
      <c r="A1732" s="105">
        <v>9</v>
      </c>
      <c r="B1732" s="550">
        <f t="shared" si="427"/>
        <v>142681342.37324223</v>
      </c>
      <c r="F1732" s="47"/>
      <c r="G1732" s="105">
        <v>9</v>
      </c>
      <c r="H1732" s="550">
        <f t="shared" si="428"/>
        <v>95459627.723259971</v>
      </c>
      <c r="J1732" s="47"/>
      <c r="K1732" s="47"/>
    </row>
    <row r="1733" spans="1:11" x14ac:dyDescent="0.25">
      <c r="A1733" s="105">
        <v>10</v>
      </c>
      <c r="B1733" s="550">
        <f t="shared" si="427"/>
        <v>146961782.64443928</v>
      </c>
      <c r="F1733" s="47"/>
      <c r="G1733" s="105">
        <v>10</v>
      </c>
      <c r="H1733" s="550">
        <f t="shared" si="428"/>
        <v>98323416.554957792</v>
      </c>
      <c r="J1733" s="47"/>
      <c r="K1733" s="47"/>
    </row>
    <row r="1734" spans="1:11" x14ac:dyDescent="0.25">
      <c r="A1734" s="105">
        <v>11</v>
      </c>
      <c r="B1734" s="550">
        <f t="shared" si="427"/>
        <v>151370636.12377274</v>
      </c>
      <c r="F1734" s="47"/>
      <c r="G1734" s="105">
        <v>11</v>
      </c>
      <c r="H1734" s="550">
        <f t="shared" si="428"/>
        <v>101273119.0516066</v>
      </c>
      <c r="J1734" s="47"/>
      <c r="K1734" s="47"/>
    </row>
    <row r="1735" spans="1:11" x14ac:dyDescent="0.25">
      <c r="A1735" s="105">
        <v>12</v>
      </c>
      <c r="B1735" s="550">
        <f t="shared" si="427"/>
        <v>311076972.50449067</v>
      </c>
      <c r="F1735" s="47"/>
      <c r="G1735" s="105">
        <v>12</v>
      </c>
      <c r="H1735" s="550">
        <f t="shared" si="428"/>
        <v>131395680.37404962</v>
      </c>
      <c r="J1735" s="47"/>
      <c r="K1735" s="47"/>
    </row>
    <row r="1736" spans="1:11" x14ac:dyDescent="0.25">
      <c r="A1736" s="105">
        <v>13</v>
      </c>
      <c r="B1736" s="550">
        <f t="shared" si="427"/>
        <v>320409281.67962521</v>
      </c>
      <c r="F1736" s="47"/>
      <c r="G1736" s="105">
        <v>13</v>
      </c>
      <c r="H1736" s="550">
        <f t="shared" si="428"/>
        <v>135337550.7852709</v>
      </c>
      <c r="J1736" s="47"/>
      <c r="K1736" s="47"/>
    </row>
    <row r="1737" spans="1:11" x14ac:dyDescent="0.25">
      <c r="A1737" s="105">
        <v>14</v>
      </c>
      <c r="B1737" s="550">
        <f t="shared" si="427"/>
        <v>270649986.17738152</v>
      </c>
      <c r="F1737" s="47"/>
      <c r="G1737" s="105">
        <v>14</v>
      </c>
      <c r="H1737" s="550">
        <f t="shared" si="428"/>
        <v>139397677.30882919</v>
      </c>
      <c r="J1737" s="47"/>
      <c r="K1737" s="47"/>
    </row>
    <row r="1738" spans="1:11" x14ac:dyDescent="0.25">
      <c r="A1738" s="105">
        <v>15</v>
      </c>
      <c r="B1738" s="550">
        <f t="shared" si="427"/>
        <v>278769485.7627027</v>
      </c>
      <c r="F1738" s="47"/>
      <c r="G1738" s="105">
        <v>15</v>
      </c>
      <c r="H1738" s="550">
        <f t="shared" si="428"/>
        <v>143579607.62809396</v>
      </c>
      <c r="J1738" s="47"/>
      <c r="K1738" s="47"/>
    </row>
    <row r="1739" spans="1:11" x14ac:dyDescent="0.25">
      <c r="A1739" s="105">
        <v>16</v>
      </c>
      <c r="B1739" s="550">
        <f t="shared" si="427"/>
        <v>287132570.33558393</v>
      </c>
      <c r="F1739" s="47"/>
      <c r="G1739" s="105">
        <v>16</v>
      </c>
      <c r="H1739" s="550">
        <f t="shared" si="428"/>
        <v>147886995.85693675</v>
      </c>
      <c r="J1739" s="47"/>
      <c r="K1739" s="47"/>
    </row>
    <row r="1740" spans="1:11" x14ac:dyDescent="0.25">
      <c r="A1740" s="105">
        <v>17</v>
      </c>
      <c r="B1740" s="550">
        <f t="shared" si="427"/>
        <v>295746547.44565129</v>
      </c>
      <c r="F1740" s="47"/>
      <c r="G1740" s="105">
        <v>17</v>
      </c>
      <c r="H1740" s="550">
        <f t="shared" si="428"/>
        <v>152323605.73264506</v>
      </c>
      <c r="J1740" s="47"/>
      <c r="K1740" s="47"/>
    </row>
    <row r="1741" spans="1:11" x14ac:dyDescent="0.25">
      <c r="A1741" s="105">
        <v>18</v>
      </c>
      <c r="B1741" s="550">
        <f t="shared" si="427"/>
        <v>304618943.86902082</v>
      </c>
      <c r="F1741" s="47"/>
      <c r="G1741" s="105">
        <v>18</v>
      </c>
      <c r="H1741" s="550">
        <f t="shared" si="428"/>
        <v>156893313.90462422</v>
      </c>
      <c r="J1741" s="47"/>
      <c r="K1741" s="47"/>
    </row>
    <row r="1742" spans="1:11" x14ac:dyDescent="0.25">
      <c r="A1742" s="105">
        <v>19</v>
      </c>
      <c r="B1742" s="550">
        <f t="shared" si="427"/>
        <v>311356718.38870692</v>
      </c>
      <c r="F1742" s="47"/>
      <c r="G1742" s="105">
        <v>19</v>
      </c>
      <c r="H1742" s="550">
        <f t="shared" si="428"/>
        <v>161600113.32176307</v>
      </c>
      <c r="J1742" s="47"/>
      <c r="K1742" s="47"/>
    </row>
    <row r="1743" spans="1:11" x14ac:dyDescent="0.25">
      <c r="A1743" s="105">
        <v>20</v>
      </c>
      <c r="B1743" s="550">
        <f t="shared" si="427"/>
        <v>320697419.94036788</v>
      </c>
      <c r="F1743" s="47"/>
      <c r="G1743" s="105">
        <v>20</v>
      </c>
      <c r="H1743" s="550">
        <f t="shared" si="428"/>
        <v>166448116.72141588</v>
      </c>
      <c r="J1743" s="47"/>
      <c r="K1743" s="47"/>
    </row>
    <row r="1744" spans="1:11" x14ac:dyDescent="0.25">
      <c r="A1744" s="105">
        <v>21</v>
      </c>
      <c r="B1744" s="550">
        <f t="shared" si="427"/>
        <v>330318342.53857911</v>
      </c>
      <c r="F1744" s="47"/>
      <c r="G1744" s="105">
        <v>21</v>
      </c>
      <c r="H1744" s="550">
        <f t="shared" si="428"/>
        <v>171441560.22305837</v>
      </c>
      <c r="J1744" s="47"/>
      <c r="K1744" s="47"/>
    </row>
    <row r="1745" spans="1:11" x14ac:dyDescent="0.25">
      <c r="A1745" s="105">
        <v>22</v>
      </c>
      <c r="B1745" s="550">
        <f t="shared" si="427"/>
        <v>340227892.81473637</v>
      </c>
      <c r="F1745" s="47"/>
      <c r="G1745" s="105">
        <v>22</v>
      </c>
      <c r="H1745" s="550">
        <f t="shared" si="428"/>
        <v>176584807.02974999</v>
      </c>
      <c r="J1745" s="47"/>
      <c r="K1745" s="47"/>
    </row>
    <row r="1746" spans="1:11" x14ac:dyDescent="0.25">
      <c r="A1746" s="105">
        <v>23</v>
      </c>
      <c r="B1746" s="550">
        <f t="shared" si="427"/>
        <v>350434729.59917867</v>
      </c>
      <c r="F1746" s="47"/>
      <c r="G1746" s="105">
        <v>23</v>
      </c>
      <c r="H1746" s="550">
        <f t="shared" si="428"/>
        <v>181882351.2406427</v>
      </c>
      <c r="J1746" s="47"/>
      <c r="K1746" s="47"/>
    </row>
    <row r="1747" spans="1:11" x14ac:dyDescent="0.25">
      <c r="A1747" s="105">
        <v>24</v>
      </c>
      <c r="B1747" s="550">
        <f t="shared" si="427"/>
        <v>360947771.48715365</v>
      </c>
      <c r="F1747" s="47"/>
      <c r="G1747" s="105">
        <v>24</v>
      </c>
      <c r="H1747" s="550">
        <f t="shared" si="428"/>
        <v>187338821.77786177</v>
      </c>
      <c r="J1747" s="47"/>
      <c r="K1747" s="47"/>
    </row>
    <row r="1748" spans="1:11" x14ac:dyDescent="0.25">
      <c r="A1748" s="105">
        <v>25</v>
      </c>
      <c r="B1748" s="550">
        <f t="shared" si="427"/>
        <v>371776204.63176835</v>
      </c>
      <c r="F1748" s="47"/>
      <c r="G1748" s="105">
        <v>25</v>
      </c>
      <c r="H1748" s="550">
        <f t="shared" si="428"/>
        <v>192958986.43119755</v>
      </c>
      <c r="J1748" s="47"/>
      <c r="K1748" s="47"/>
    </row>
    <row r="1749" spans="1:11" x14ac:dyDescent="0.25">
      <c r="A1749" s="105">
        <v>26</v>
      </c>
      <c r="B1749" s="550">
        <f t="shared" si="427"/>
        <v>382929490.77072155</v>
      </c>
      <c r="F1749" s="47"/>
      <c r="G1749" s="105">
        <v>26</v>
      </c>
      <c r="H1749" s="550">
        <f t="shared" si="428"/>
        <v>198747756.0241335</v>
      </c>
      <c r="J1749" s="47"/>
      <c r="K1749" s="47"/>
    </row>
    <row r="1750" spans="1:11" x14ac:dyDescent="0.25">
      <c r="A1750" s="105">
        <v>27</v>
      </c>
      <c r="B1750" s="550">
        <f t="shared" si="427"/>
        <v>394417375.49384344</v>
      </c>
      <c r="F1750" s="47"/>
      <c r="G1750" s="105">
        <v>27</v>
      </c>
      <c r="H1750" s="550">
        <f t="shared" si="428"/>
        <v>204710188.70485759</v>
      </c>
      <c r="J1750" s="47"/>
      <c r="K1750" s="47"/>
    </row>
    <row r="1751" spans="1:11" x14ac:dyDescent="0.25">
      <c r="A1751" s="105">
        <v>28</v>
      </c>
      <c r="B1751" s="550">
        <f t="shared" si="427"/>
        <v>402993772.10038805</v>
      </c>
      <c r="F1751" s="47"/>
      <c r="G1751" s="105">
        <v>28</v>
      </c>
      <c r="H1751" s="550">
        <f t="shared" si="428"/>
        <v>210851494.36600354</v>
      </c>
      <c r="J1751" s="47"/>
      <c r="K1751" s="47"/>
    </row>
    <row r="1752" spans="1:11" x14ac:dyDescent="0.25">
      <c r="A1752" s="105">
        <v>29</v>
      </c>
      <c r="B1752" s="550">
        <f t="shared" si="427"/>
        <v>415083585.26339948</v>
      </c>
      <c r="F1752" s="47"/>
      <c r="G1752" s="105">
        <v>29</v>
      </c>
      <c r="H1752" s="550">
        <f t="shared" si="428"/>
        <v>217177039.19698352</v>
      </c>
      <c r="J1752" s="47"/>
      <c r="K1752" s="47"/>
    </row>
    <row r="1753" spans="1:11" x14ac:dyDescent="0.25">
      <c r="A1753" s="105">
        <v>30</v>
      </c>
      <c r="B1753" s="550">
        <f t="shared" si="427"/>
        <v>427536092.82130128</v>
      </c>
      <c r="F1753" s="47"/>
      <c r="G1753" s="105">
        <v>30</v>
      </c>
      <c r="H1753" s="550">
        <f t="shared" si="428"/>
        <v>223692350.37289283</v>
      </c>
      <c r="J1753" s="47"/>
      <c r="K1753" s="47"/>
    </row>
    <row r="1754" spans="1:11" x14ac:dyDescent="0.25">
      <c r="A1754" s="105">
        <v>31</v>
      </c>
      <c r="B1754" s="550">
        <f t="shared" si="427"/>
        <v>440362175.60594034</v>
      </c>
      <c r="F1754" s="47"/>
      <c r="G1754" s="105">
        <v>31</v>
      </c>
      <c r="H1754" s="550">
        <f t="shared" si="428"/>
        <v>230403120.88407964</v>
      </c>
      <c r="J1754" s="47"/>
      <c r="K1754" s="47"/>
    </row>
    <row r="1755" spans="1:11" x14ac:dyDescent="0.25">
      <c r="A1755" s="105">
        <v>32</v>
      </c>
      <c r="B1755" s="550">
        <f t="shared" si="427"/>
        <v>453573040.87411845</v>
      </c>
      <c r="F1755" s="47"/>
      <c r="G1755" s="105">
        <v>32</v>
      </c>
      <c r="H1755" s="550">
        <f t="shared" si="428"/>
        <v>237315214.51060215</v>
      </c>
      <c r="J1755" s="47"/>
      <c r="K1755" s="47"/>
    </row>
    <row r="1756" spans="1:11" x14ac:dyDescent="0.25">
      <c r="F1756" s="47"/>
      <c r="G1756" s="47"/>
      <c r="H1756" s="47"/>
      <c r="I1756" s="47"/>
      <c r="J1756" s="47"/>
      <c r="K1756" s="47"/>
    </row>
  </sheetData>
  <mergeCells count="133">
    <mergeCell ref="C208:E208"/>
    <mergeCell ref="L207:M208"/>
    <mergeCell ref="C458:E458"/>
    <mergeCell ref="L458:M459"/>
    <mergeCell ref="J662:L662"/>
    <mergeCell ref="M662:N663"/>
    <mergeCell ref="C663:E663"/>
    <mergeCell ref="C551:E551"/>
    <mergeCell ref="F551:H551"/>
    <mergeCell ref="I551:K551"/>
    <mergeCell ref="L551:N551"/>
    <mergeCell ref="C589:E589"/>
    <mergeCell ref="F589:H589"/>
    <mergeCell ref="I589:K589"/>
    <mergeCell ref="L589:N589"/>
    <mergeCell ref="C626:E626"/>
    <mergeCell ref="K626:M626"/>
    <mergeCell ref="C382:E382"/>
    <mergeCell ref="K382:M382"/>
    <mergeCell ref="J418:L418"/>
    <mergeCell ref="M418:N419"/>
    <mergeCell ref="C419:E419"/>
    <mergeCell ref="C513:E513"/>
    <mergeCell ref="F513:H513"/>
    <mergeCell ref="I513:K513"/>
    <mergeCell ref="L513:N513"/>
    <mergeCell ref="C266:E266"/>
    <mergeCell ref="F266:H266"/>
    <mergeCell ref="I266:K266"/>
    <mergeCell ref="L266:N266"/>
    <mergeCell ref="C305:E305"/>
    <mergeCell ref="F305:H305"/>
    <mergeCell ref="I305:K305"/>
    <mergeCell ref="L305:N305"/>
    <mergeCell ref="C344:E344"/>
    <mergeCell ref="F344:H344"/>
    <mergeCell ref="I344:K344"/>
    <mergeCell ref="L344:N344"/>
    <mergeCell ref="L20:N20"/>
    <mergeCell ref="L57:N57"/>
    <mergeCell ref="C20:E20"/>
    <mergeCell ref="F20:H20"/>
    <mergeCell ref="I20:K20"/>
    <mergeCell ref="C57:E57"/>
    <mergeCell ref="F57:H57"/>
    <mergeCell ref="I57:K57"/>
    <mergeCell ref="C170:E170"/>
    <mergeCell ref="J169:L169"/>
    <mergeCell ref="M169:N170"/>
    <mergeCell ref="C94:E94"/>
    <mergeCell ref="F94:H94"/>
    <mergeCell ref="I94:K94"/>
    <mergeCell ref="L94:N94"/>
    <mergeCell ref="C132:E132"/>
    <mergeCell ref="K132:M132"/>
    <mergeCell ref="C834:E834"/>
    <mergeCell ref="F834:H834"/>
    <mergeCell ref="I834:K834"/>
    <mergeCell ref="L834:N834"/>
    <mergeCell ref="C871:E871"/>
    <mergeCell ref="K871:M871"/>
    <mergeCell ref="C758:E758"/>
    <mergeCell ref="F758:H758"/>
    <mergeCell ref="I758:K758"/>
    <mergeCell ref="L758:N758"/>
    <mergeCell ref="C796:E796"/>
    <mergeCell ref="F796:H796"/>
    <mergeCell ref="I796:K796"/>
    <mergeCell ref="L796:N796"/>
    <mergeCell ref="C1041:E1041"/>
    <mergeCell ref="F1041:H1041"/>
    <mergeCell ref="I1041:K1041"/>
    <mergeCell ref="L1041:N1041"/>
    <mergeCell ref="C1079:E1079"/>
    <mergeCell ref="F1079:H1079"/>
    <mergeCell ref="I1079:K1079"/>
    <mergeCell ref="L1079:N1079"/>
    <mergeCell ref="J907:L907"/>
    <mergeCell ref="M907:N908"/>
    <mergeCell ref="C908:E908"/>
    <mergeCell ref="C1003:E1003"/>
    <mergeCell ref="F1003:H1003"/>
    <mergeCell ref="I1003:K1003"/>
    <mergeCell ref="L1003:N1003"/>
    <mergeCell ref="C1249:E1249"/>
    <mergeCell ref="F1249:H1249"/>
    <mergeCell ref="I1249:K1249"/>
    <mergeCell ref="L1249:N1249"/>
    <mergeCell ref="C1287:E1287"/>
    <mergeCell ref="F1287:H1287"/>
    <mergeCell ref="I1287:K1287"/>
    <mergeCell ref="L1287:N1287"/>
    <mergeCell ref="C1116:E1116"/>
    <mergeCell ref="K1116:M1116"/>
    <mergeCell ref="J1152:L1152"/>
    <mergeCell ref="M1152:N1153"/>
    <mergeCell ref="C1153:E1153"/>
    <mergeCell ref="M1398:N1399"/>
    <mergeCell ref="C1399:E1399"/>
    <mergeCell ref="C1495:E1495"/>
    <mergeCell ref="F1495:H1495"/>
    <mergeCell ref="I1495:K1495"/>
    <mergeCell ref="L1495:N1495"/>
    <mergeCell ref="C1325:E1325"/>
    <mergeCell ref="F1325:H1325"/>
    <mergeCell ref="I1325:K1325"/>
    <mergeCell ref="L1325:N1325"/>
    <mergeCell ref="C1362:E1362"/>
    <mergeCell ref="K1362:M1362"/>
    <mergeCell ref="C1684:E1684"/>
    <mergeCell ref="L1684:M1685"/>
    <mergeCell ref="C702:E702"/>
    <mergeCell ref="L702:M703"/>
    <mergeCell ref="C947:E947"/>
    <mergeCell ref="L947:M948"/>
    <mergeCell ref="C1192:E1192"/>
    <mergeCell ref="L1192:M1193"/>
    <mergeCell ref="C1438:E1438"/>
    <mergeCell ref="L1438:M1439"/>
    <mergeCell ref="C1608:E1608"/>
    <mergeCell ref="K1608:M1608"/>
    <mergeCell ref="J1644:L1644"/>
    <mergeCell ref="M1644:N1645"/>
    <mergeCell ref="C1645:E1645"/>
    <mergeCell ref="C1533:E1533"/>
    <mergeCell ref="F1533:H1533"/>
    <mergeCell ref="I1533:K1533"/>
    <mergeCell ref="L1533:N1533"/>
    <mergeCell ref="C1571:E1571"/>
    <mergeCell ref="F1571:H1571"/>
    <mergeCell ref="I1571:K1571"/>
    <mergeCell ref="L1571:N1571"/>
    <mergeCell ref="J1398:L139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1"/>
  <sheetViews>
    <sheetView topLeftCell="A4" zoomScale="80" zoomScaleNormal="80" workbookViewId="0">
      <selection activeCell="W24" sqref="W23:W24"/>
    </sheetView>
  </sheetViews>
  <sheetFormatPr baseColWidth="10" defaultRowHeight="15" x14ac:dyDescent="0.25"/>
  <cols>
    <col min="1" max="1" width="15.7109375" customWidth="1"/>
    <col min="2" max="2" width="17.85546875" customWidth="1"/>
    <col min="3" max="3" width="14.7109375" customWidth="1"/>
    <col min="6" max="6" width="10.28515625" customWidth="1"/>
    <col min="7" max="7" width="17.5703125" customWidth="1"/>
    <col min="12" max="12" width="17.85546875" customWidth="1"/>
  </cols>
  <sheetData>
    <row r="1" spans="1:14" ht="16.5" thickBot="1" x14ac:dyDescent="0.3">
      <c r="A1" s="325" t="s">
        <v>303</v>
      </c>
    </row>
    <row r="2" spans="1:14" ht="15.75" thickBot="1" x14ac:dyDescent="0.3">
      <c r="A2" s="326" t="s">
        <v>304</v>
      </c>
      <c r="B2" t="s">
        <v>305</v>
      </c>
      <c r="E2" s="327" t="s">
        <v>304</v>
      </c>
      <c r="F2" s="328">
        <f>(F10*F11*7)/F9</f>
        <v>34.406053952321201</v>
      </c>
      <c r="H2" s="156" t="s">
        <v>306</v>
      </c>
      <c r="I2" s="101"/>
      <c r="J2" s="329">
        <v>0.8</v>
      </c>
    </row>
    <row r="3" spans="1:14" ht="16.5" thickBot="1" x14ac:dyDescent="0.3">
      <c r="A3" s="325" t="s">
        <v>307</v>
      </c>
      <c r="E3" s="326"/>
      <c r="H3" s="156" t="s">
        <v>308</v>
      </c>
      <c r="I3" s="101"/>
      <c r="J3" s="329">
        <v>0.2</v>
      </c>
    </row>
    <row r="4" spans="1:14" ht="16.5" thickBot="1" x14ac:dyDescent="0.3">
      <c r="A4" s="326" t="s">
        <v>309</v>
      </c>
      <c r="B4" s="330" t="s">
        <v>310</v>
      </c>
      <c r="E4" s="327" t="s">
        <v>309</v>
      </c>
      <c r="F4" s="328">
        <f>F6*0.3</f>
        <v>20.643632371392719</v>
      </c>
    </row>
    <row r="5" spans="1:14" x14ac:dyDescent="0.25">
      <c r="A5" t="s">
        <v>311</v>
      </c>
      <c r="H5" s="90" t="s">
        <v>329</v>
      </c>
      <c r="I5" s="91"/>
      <c r="J5" s="342">
        <v>2.5</v>
      </c>
    </row>
    <row r="6" spans="1:14" ht="16.5" thickBot="1" x14ac:dyDescent="0.3">
      <c r="A6" s="331" t="s">
        <v>312</v>
      </c>
      <c r="B6" s="325" t="s">
        <v>313</v>
      </c>
      <c r="F6" s="332">
        <f>2*F10*F7</f>
        <v>68.812107904642403</v>
      </c>
      <c r="H6" s="98" t="s">
        <v>330</v>
      </c>
      <c r="I6" s="99"/>
      <c r="J6" s="343">
        <v>30</v>
      </c>
    </row>
    <row r="7" spans="1:14" ht="15.75" x14ac:dyDescent="0.25">
      <c r="A7" s="326" t="s">
        <v>314</v>
      </c>
      <c r="B7" s="325" t="s">
        <v>315</v>
      </c>
      <c r="F7" s="332">
        <f>F11/F8</f>
        <v>10.21860824244764</v>
      </c>
      <c r="J7" t="s">
        <v>316</v>
      </c>
    </row>
    <row r="8" spans="1:14" ht="15.75" x14ac:dyDescent="0.25">
      <c r="A8" s="326" t="s">
        <v>317</v>
      </c>
      <c r="B8" s="325" t="s">
        <v>318</v>
      </c>
      <c r="F8" s="332">
        <f>F9/7</f>
        <v>5.9205714285714288</v>
      </c>
      <c r="J8" t="s">
        <v>319</v>
      </c>
    </row>
    <row r="9" spans="1:14" ht="15.75" x14ac:dyDescent="0.25">
      <c r="A9" s="326" t="s">
        <v>320</v>
      </c>
      <c r="B9" s="325" t="s">
        <v>321</v>
      </c>
      <c r="F9" s="333">
        <v>41.444000000000003</v>
      </c>
      <c r="G9" t="s">
        <v>322</v>
      </c>
    </row>
    <row r="10" spans="1:14" ht="16.5" thickBot="1" x14ac:dyDescent="0.3">
      <c r="A10" s="334" t="s">
        <v>323</v>
      </c>
      <c r="B10" s="325" t="s">
        <v>324</v>
      </c>
      <c r="C10" s="80"/>
      <c r="D10" s="80"/>
      <c r="E10" s="80"/>
      <c r="F10" s="335">
        <v>3.367</v>
      </c>
      <c r="G10" t="s">
        <v>325</v>
      </c>
    </row>
    <row r="11" spans="1:14" ht="16.5" thickBot="1" x14ac:dyDescent="0.3">
      <c r="A11" s="336" t="s">
        <v>326</v>
      </c>
      <c r="B11" s="337" t="s">
        <v>327</v>
      </c>
      <c r="C11" s="338"/>
      <c r="D11" s="338"/>
      <c r="E11" s="338"/>
      <c r="F11" s="339">
        <v>60.5</v>
      </c>
      <c r="G11" t="s">
        <v>328</v>
      </c>
    </row>
    <row r="12" spans="1:14" ht="15.75" thickBot="1" x14ac:dyDescent="0.3">
      <c r="H12" s="496" t="s">
        <v>499</v>
      </c>
      <c r="I12" s="497"/>
      <c r="J12" s="498" t="str">
        <f>'DATOS DE ENTRADA'!C34</f>
        <v>m</v>
      </c>
    </row>
    <row r="14" spans="1:14" x14ac:dyDescent="0.25">
      <c r="A14" t="s">
        <v>226</v>
      </c>
    </row>
    <row r="15" spans="1:14" x14ac:dyDescent="0.25">
      <c r="A15" s="340"/>
      <c r="B15" s="340"/>
      <c r="C15" t="s">
        <v>335</v>
      </c>
      <c r="I15" s="340"/>
      <c r="J15" s="340"/>
      <c r="K15" t="s">
        <v>336</v>
      </c>
    </row>
    <row r="16" spans="1:14" x14ac:dyDescent="0.25">
      <c r="A16" s="106" t="s">
        <v>247</v>
      </c>
      <c r="B16" s="107">
        <f>'DATOS DE ENTRADA'!C7</f>
        <v>70</v>
      </c>
      <c r="C16" s="152"/>
      <c r="D16" s="152"/>
      <c r="E16" s="152"/>
      <c r="F16" s="152"/>
      <c r="G16" s="352"/>
      <c r="I16" s="106" t="s">
        <v>247</v>
      </c>
      <c r="J16" s="107">
        <f>'DATOS DE ENTRADA'!C23</f>
        <v>70</v>
      </c>
      <c r="K16" s="152"/>
      <c r="L16" s="152"/>
      <c r="M16" s="152"/>
      <c r="N16" s="152"/>
    </row>
    <row r="17" spans="1:15" ht="25.5" x14ac:dyDescent="0.25">
      <c r="A17" s="35" t="s">
        <v>18</v>
      </c>
      <c r="B17" s="95" t="s">
        <v>20</v>
      </c>
      <c r="C17" s="270" t="s">
        <v>331</v>
      </c>
      <c r="D17" s="270" t="s">
        <v>332</v>
      </c>
      <c r="E17" s="270" t="s">
        <v>333</v>
      </c>
      <c r="F17" s="270" t="s">
        <v>334</v>
      </c>
      <c r="G17" s="270" t="s">
        <v>53</v>
      </c>
      <c r="I17" s="35" t="s">
        <v>18</v>
      </c>
      <c r="J17" s="95" t="s">
        <v>20</v>
      </c>
      <c r="K17" s="270" t="s">
        <v>331</v>
      </c>
      <c r="L17" s="270" t="s">
        <v>332</v>
      </c>
      <c r="M17" s="270" t="s">
        <v>333</v>
      </c>
      <c r="N17" s="270" t="s">
        <v>334</v>
      </c>
      <c r="O17" s="270" t="s">
        <v>53</v>
      </c>
    </row>
    <row r="18" spans="1:15" x14ac:dyDescent="0.25">
      <c r="A18" s="271">
        <v>0</v>
      </c>
      <c r="B18" s="272">
        <f>IF($J$12="m",'DATOS DE ENTRADA'!J38,'DATOS DE ENTRADA'!H38)</f>
        <v>83</v>
      </c>
      <c r="C18" s="273">
        <f>IF(B18&lt;=60,60,B18)</f>
        <v>83</v>
      </c>
      <c r="D18" s="341">
        <f>$B$16/C18</f>
        <v>0.84337349397590367</v>
      </c>
      <c r="E18" s="274">
        <f>(D18*$F$2*$J$2*$J$5)</f>
        <v>58.034307871385167</v>
      </c>
      <c r="F18" s="274">
        <f t="shared" ref="F18:F48" si="0">(D18*$F$4*$J$3*$J$5)</f>
        <v>8.7051461807077732</v>
      </c>
      <c r="G18" s="341">
        <f>E18+F18</f>
        <v>66.739454052092938</v>
      </c>
      <c r="I18" s="271">
        <v>0</v>
      </c>
      <c r="J18" s="272">
        <f>IF($J$12="m",'DATOS DE ENTRADA'!J73,'DATOS DE ENTRADA'!H73)</f>
        <v>104.32770689349636</v>
      </c>
      <c r="K18" s="273">
        <f>IF(J18&lt;=60,60,J18)</f>
        <v>104.32770689349636</v>
      </c>
      <c r="L18" s="341">
        <f t="shared" ref="L18:L48" si="1">$J$16/K18</f>
        <v>0.67096270093868715</v>
      </c>
      <c r="M18" s="274">
        <f t="shared" ref="M18:M48" si="2">(L18*$F$2*$J$2*$J$5)</f>
        <v>46.170357776983259</v>
      </c>
      <c r="N18" s="274">
        <f t="shared" ref="N18:N48" si="3">(L18*$F$4*$J$3*$J$5)</f>
        <v>6.9255536665474882</v>
      </c>
      <c r="O18" s="341">
        <f>M18+N18</f>
        <v>53.095911443530746</v>
      </c>
    </row>
    <row r="19" spans="1:15" x14ac:dyDescent="0.25">
      <c r="A19" s="271">
        <v>1</v>
      </c>
      <c r="B19" s="272">
        <f>IF($J$12="m",'DATOS DE ENTRADA'!J39,'DATOS DE ENTRADA'!H39)</f>
        <v>83</v>
      </c>
      <c r="C19" s="273">
        <f t="shared" ref="C19:C48" si="4">IF(B19&lt;=60,60,B19)</f>
        <v>83</v>
      </c>
      <c r="D19" s="341">
        <f t="shared" ref="D19:D48" si="5">$B$16/C19</f>
        <v>0.84337349397590367</v>
      </c>
      <c r="E19" s="274">
        <f t="shared" ref="E19:E48" si="6">(D19*$F$2*$J$2*$J$5)</f>
        <v>58.034307871385167</v>
      </c>
      <c r="F19" s="274">
        <f t="shared" si="0"/>
        <v>8.7051461807077732</v>
      </c>
      <c r="G19" s="341">
        <f t="shared" ref="G19:G48" si="7">E19+F19</f>
        <v>66.739454052092938</v>
      </c>
      <c r="I19" s="271">
        <v>1</v>
      </c>
      <c r="J19" s="272">
        <f>IF($J$12="m",'DATOS DE ENTRADA'!J74,'DATOS DE ENTRADA'!H74)</f>
        <v>104.00753810030125</v>
      </c>
      <c r="K19" s="273">
        <f t="shared" ref="K19:K48" si="8">IF(J19&lt;=60,60,J19)</f>
        <v>104.00753810030125</v>
      </c>
      <c r="L19" s="341">
        <f t="shared" si="1"/>
        <v>0.6730281408304698</v>
      </c>
      <c r="M19" s="274">
        <f t="shared" si="2"/>
        <v>46.312485049687162</v>
      </c>
      <c r="N19" s="274">
        <f t="shared" si="3"/>
        <v>6.9468727574530735</v>
      </c>
      <c r="O19" s="341">
        <f t="shared" ref="O19:O48" si="9">M19+N19</f>
        <v>53.259357807140233</v>
      </c>
    </row>
    <row r="20" spans="1:15" x14ac:dyDescent="0.25">
      <c r="A20" s="271">
        <v>2</v>
      </c>
      <c r="B20" s="272">
        <f>IF($J$12="m",'DATOS DE ENTRADA'!J40,'DATOS DE ENTRADA'!H40)</f>
        <v>83</v>
      </c>
      <c r="C20" s="273">
        <f t="shared" si="4"/>
        <v>83</v>
      </c>
      <c r="D20" s="341">
        <f t="shared" si="5"/>
        <v>0.84337349397590367</v>
      </c>
      <c r="E20" s="274">
        <f t="shared" si="6"/>
        <v>58.034307871385167</v>
      </c>
      <c r="F20" s="274">
        <f t="shared" si="0"/>
        <v>8.7051461807077732</v>
      </c>
      <c r="G20" s="341">
        <f t="shared" si="7"/>
        <v>66.739454052092938</v>
      </c>
      <c r="I20" s="271">
        <v>2</v>
      </c>
      <c r="J20" s="272">
        <f>IF($J$12="m",'DATOS DE ENTRADA'!J75,'DATOS DE ENTRADA'!H75)</f>
        <v>103.67776424331029</v>
      </c>
      <c r="K20" s="273">
        <f t="shared" si="8"/>
        <v>103.67776424331029</v>
      </c>
      <c r="L20" s="341">
        <f t="shared" si="1"/>
        <v>0.67516888033700706</v>
      </c>
      <c r="M20" s="274">
        <f t="shared" si="2"/>
        <v>46.459793847606726</v>
      </c>
      <c r="N20" s="274">
        <f t="shared" si="3"/>
        <v>6.9689690771410087</v>
      </c>
      <c r="O20" s="341">
        <f t="shared" si="9"/>
        <v>53.428762924747737</v>
      </c>
    </row>
    <row r="21" spans="1:15" x14ac:dyDescent="0.25">
      <c r="A21" s="271">
        <v>3</v>
      </c>
      <c r="B21" s="272">
        <f>IF($J$12="m",'DATOS DE ENTRADA'!J41,'DATOS DE ENTRADA'!H41)</f>
        <v>83</v>
      </c>
      <c r="C21" s="273">
        <f t="shared" si="4"/>
        <v>83</v>
      </c>
      <c r="D21" s="341">
        <f t="shared" si="5"/>
        <v>0.84337349397590367</v>
      </c>
      <c r="E21" s="274">
        <f t="shared" si="6"/>
        <v>58.034307871385167</v>
      </c>
      <c r="F21" s="274">
        <f t="shared" si="0"/>
        <v>8.7051461807077732</v>
      </c>
      <c r="G21" s="341">
        <f t="shared" si="7"/>
        <v>66.739454052092938</v>
      </c>
      <c r="I21" s="271">
        <v>3</v>
      </c>
      <c r="J21" s="272">
        <f>IF($J$12="m",'DATOS DE ENTRADA'!J76,'DATOS DE ENTRADA'!H76)</f>
        <v>103.46624994895456</v>
      </c>
      <c r="K21" s="273">
        <f t="shared" si="8"/>
        <v>103.46624994895456</v>
      </c>
      <c r="L21" s="341">
        <f t="shared" si="1"/>
        <v>0.67654911659149486</v>
      </c>
      <c r="M21" s="274">
        <f t="shared" si="2"/>
        <v>46.554770813684442</v>
      </c>
      <c r="N21" s="274">
        <f t="shared" si="3"/>
        <v>6.9832156220526649</v>
      </c>
      <c r="O21" s="341">
        <f t="shared" si="9"/>
        <v>53.53798643573711</v>
      </c>
    </row>
    <row r="22" spans="1:15" x14ac:dyDescent="0.25">
      <c r="A22" s="271">
        <v>4</v>
      </c>
      <c r="B22" s="272">
        <f>IF($J$12="m",'DATOS DE ENTRADA'!J42,'DATOS DE ENTRADA'!H42)</f>
        <v>83</v>
      </c>
      <c r="C22" s="273">
        <f t="shared" si="4"/>
        <v>83</v>
      </c>
      <c r="D22" s="341">
        <f t="shared" si="5"/>
        <v>0.84337349397590367</v>
      </c>
      <c r="E22" s="274">
        <f t="shared" si="6"/>
        <v>58.034307871385167</v>
      </c>
      <c r="F22" s="274">
        <f t="shared" si="0"/>
        <v>8.7051461807077732</v>
      </c>
      <c r="G22" s="341">
        <f t="shared" si="7"/>
        <v>66.739454052092938</v>
      </c>
      <c r="I22" s="271">
        <v>4</v>
      </c>
      <c r="J22" s="272">
        <f>IF($J$12="m",'DATOS DE ENTRADA'!J77,'DATOS DE ENTRADA'!H77)</f>
        <v>103.12023744742318</v>
      </c>
      <c r="K22" s="273">
        <f t="shared" si="8"/>
        <v>103.12023744742318</v>
      </c>
      <c r="L22" s="341">
        <f t="shared" si="1"/>
        <v>0.67881922824014207</v>
      </c>
      <c r="M22" s="274">
        <f t="shared" si="2"/>
        <v>46.710981981406732</v>
      </c>
      <c r="N22" s="274">
        <f t="shared" si="3"/>
        <v>7.0066472972110105</v>
      </c>
      <c r="O22" s="341">
        <f t="shared" si="9"/>
        <v>53.717629278617743</v>
      </c>
    </row>
    <row r="23" spans="1:15" x14ac:dyDescent="0.25">
      <c r="A23" s="271">
        <v>5</v>
      </c>
      <c r="B23" s="272">
        <f>IF($J$12="m",'DATOS DE ENTRADA'!J43,'DATOS DE ENTRADA'!H43)</f>
        <v>83</v>
      </c>
      <c r="C23" s="273">
        <f t="shared" si="4"/>
        <v>83</v>
      </c>
      <c r="D23" s="341">
        <f t="shared" si="5"/>
        <v>0.84337349397590367</v>
      </c>
      <c r="E23" s="274">
        <f t="shared" si="6"/>
        <v>58.034307871385167</v>
      </c>
      <c r="F23" s="274">
        <f t="shared" si="0"/>
        <v>8.7051461807077732</v>
      </c>
      <c r="G23" s="341">
        <f t="shared" si="7"/>
        <v>66.739454052092938</v>
      </c>
      <c r="I23" s="271">
        <v>5</v>
      </c>
      <c r="J23" s="272">
        <f>IF($J$12="m",'DATOS DE ENTRADA'!J78,'DATOS DE ENTRADA'!H78)</f>
        <v>102.76384457084589</v>
      </c>
      <c r="K23" s="273">
        <f t="shared" si="8"/>
        <v>102.76384457084589</v>
      </c>
      <c r="L23" s="341">
        <f t="shared" si="1"/>
        <v>0.68117342526769387</v>
      </c>
      <c r="M23" s="274">
        <f t="shared" si="2"/>
        <v>46.872979241295418</v>
      </c>
      <c r="N23" s="274">
        <f t="shared" si="3"/>
        <v>7.0309468861943127</v>
      </c>
      <c r="O23" s="341">
        <f t="shared" si="9"/>
        <v>53.903926127489733</v>
      </c>
    </row>
    <row r="24" spans="1:15" x14ac:dyDescent="0.25">
      <c r="A24" s="271">
        <v>6</v>
      </c>
      <c r="B24" s="272">
        <f>IF($J$12="m",'DATOS DE ENTRADA'!J44,'DATOS DE ENTRADA'!H44)</f>
        <v>83</v>
      </c>
      <c r="C24" s="273">
        <f t="shared" si="4"/>
        <v>83</v>
      </c>
      <c r="D24" s="341">
        <f t="shared" si="5"/>
        <v>0.84337349397590367</v>
      </c>
      <c r="E24" s="274">
        <f t="shared" si="6"/>
        <v>58.034307871385167</v>
      </c>
      <c r="F24" s="274">
        <f t="shared" si="0"/>
        <v>8.7051461807077732</v>
      </c>
      <c r="G24" s="341">
        <f t="shared" si="7"/>
        <v>66.739454052092938</v>
      </c>
      <c r="I24" s="271">
        <v>6</v>
      </c>
      <c r="J24" s="272">
        <f>IF($J$12="m",'DATOS DE ENTRADA'!J79,'DATOS DE ENTRADA'!H79)</f>
        <v>102.39675990797126</v>
      </c>
      <c r="K24" s="273">
        <f t="shared" si="8"/>
        <v>102.39675990797126</v>
      </c>
      <c r="L24" s="341">
        <f t="shared" si="1"/>
        <v>0.68361538063228033</v>
      </c>
      <c r="M24" s="274">
        <f t="shared" si="2"/>
        <v>47.041015337341669</v>
      </c>
      <c r="N24" s="274">
        <f t="shared" si="3"/>
        <v>7.0561523006012496</v>
      </c>
      <c r="O24" s="341">
        <f t="shared" si="9"/>
        <v>54.097167637942917</v>
      </c>
    </row>
    <row r="25" spans="1:15" x14ac:dyDescent="0.25">
      <c r="A25" s="271">
        <v>7</v>
      </c>
      <c r="B25" s="272">
        <f>IF($J$12="m",'DATOS DE ENTRADA'!J45,'DATOS DE ENTRADA'!H45)</f>
        <v>83</v>
      </c>
      <c r="C25" s="273">
        <f t="shared" si="4"/>
        <v>83</v>
      </c>
      <c r="D25" s="341">
        <f t="shared" si="5"/>
        <v>0.84337349397590367</v>
      </c>
      <c r="E25" s="274">
        <f t="shared" si="6"/>
        <v>58.034307871385167</v>
      </c>
      <c r="F25" s="274">
        <f t="shared" si="0"/>
        <v>8.7051461807077732</v>
      </c>
      <c r="G25" s="341">
        <f t="shared" si="7"/>
        <v>66.739454052092938</v>
      </c>
      <c r="I25" s="271">
        <v>7</v>
      </c>
      <c r="J25" s="272">
        <f>IF($J$12="m",'DATOS DE ENTRADA'!J80,'DATOS DE ENTRADA'!H80)</f>
        <v>102.0186627052104</v>
      </c>
      <c r="K25" s="273">
        <f t="shared" si="8"/>
        <v>102.0186627052104</v>
      </c>
      <c r="L25" s="341">
        <f t="shared" si="1"/>
        <v>0.68614896670690129</v>
      </c>
      <c r="M25" s="274">
        <f t="shared" si="2"/>
        <v>47.215356735694186</v>
      </c>
      <c r="N25" s="274">
        <f t="shared" si="3"/>
        <v>7.0823035103541265</v>
      </c>
      <c r="O25" s="341">
        <f t="shared" si="9"/>
        <v>54.297660246048309</v>
      </c>
    </row>
    <row r="26" spans="1:15" x14ac:dyDescent="0.25">
      <c r="A26" s="271">
        <v>8</v>
      </c>
      <c r="B26" s="272">
        <f>IF($J$12="m",'DATOS DE ENTRADA'!J46,'DATOS DE ENTRADA'!H46)</f>
        <v>83</v>
      </c>
      <c r="C26" s="273">
        <f t="shared" si="4"/>
        <v>83</v>
      </c>
      <c r="D26" s="341">
        <f t="shared" si="5"/>
        <v>0.84337349397590367</v>
      </c>
      <c r="E26" s="274">
        <f t="shared" si="6"/>
        <v>58.034307871385167</v>
      </c>
      <c r="F26" s="274">
        <f t="shared" si="0"/>
        <v>8.7051461807077732</v>
      </c>
      <c r="G26" s="341">
        <f t="shared" si="7"/>
        <v>66.739454052092938</v>
      </c>
      <c r="I26" s="271">
        <v>8</v>
      </c>
      <c r="J26" s="272">
        <f>IF($J$12="m",'DATOS DE ENTRADA'!J81,'DATOS DE ENTRADA'!H81)</f>
        <v>101.62922258636671</v>
      </c>
      <c r="K26" s="273">
        <f t="shared" si="8"/>
        <v>101.62922258636671</v>
      </c>
      <c r="L26" s="341">
        <f t="shared" si="1"/>
        <v>0.68877826887352689</v>
      </c>
      <c r="M26" s="274">
        <f t="shared" si="2"/>
        <v>47.396284560097932</v>
      </c>
      <c r="N26" s="274">
        <f t="shared" si="3"/>
        <v>7.1094426840146898</v>
      </c>
      <c r="O26" s="341">
        <f t="shared" si="9"/>
        <v>54.50572724411262</v>
      </c>
    </row>
    <row r="27" spans="1:15" x14ac:dyDescent="0.25">
      <c r="A27" s="271">
        <v>9</v>
      </c>
      <c r="B27" s="272">
        <f>IF($J$12="m",'DATOS DE ENTRADA'!J47,'DATOS DE ENTRADA'!H47)</f>
        <v>83</v>
      </c>
      <c r="C27" s="273">
        <f t="shared" si="4"/>
        <v>83</v>
      </c>
      <c r="D27" s="341">
        <f t="shared" si="5"/>
        <v>0.84337349397590367</v>
      </c>
      <c r="E27" s="274">
        <f t="shared" si="6"/>
        <v>58.034307871385167</v>
      </c>
      <c r="F27" s="274">
        <f t="shared" si="0"/>
        <v>8.7051461807077732</v>
      </c>
      <c r="G27" s="341">
        <f t="shared" si="7"/>
        <v>66.739454052092938</v>
      </c>
      <c r="I27" s="271">
        <v>9</v>
      </c>
      <c r="J27" s="272">
        <f>IF($J$12="m",'DATOS DE ENTRADA'!J82,'DATOS DE ENTRADA'!H82)</f>
        <v>101.22809926395772</v>
      </c>
      <c r="K27" s="273">
        <f t="shared" si="8"/>
        <v>101.22809926395772</v>
      </c>
      <c r="L27" s="341">
        <f t="shared" si="1"/>
        <v>0.69150760025110447</v>
      </c>
      <c r="M27" s="274">
        <f t="shared" si="2"/>
        <v>47.584095605359323</v>
      </c>
      <c r="N27" s="274">
        <f t="shared" si="3"/>
        <v>7.1376143408038981</v>
      </c>
      <c r="O27" s="341">
        <f t="shared" si="9"/>
        <v>54.721709946163223</v>
      </c>
    </row>
    <row r="28" spans="1:15" x14ac:dyDescent="0.25">
      <c r="A28" s="271">
        <v>10</v>
      </c>
      <c r="B28" s="272">
        <f>IF($J$12="m",'DATOS DE ENTRADA'!J48,'DATOS DE ENTRADA'!H48)</f>
        <v>83</v>
      </c>
      <c r="C28" s="273">
        <f t="shared" si="4"/>
        <v>83</v>
      </c>
      <c r="D28" s="341">
        <f t="shared" si="5"/>
        <v>0.84337349397590367</v>
      </c>
      <c r="E28" s="274">
        <f t="shared" si="6"/>
        <v>58.034307871385167</v>
      </c>
      <c r="F28" s="274">
        <f t="shared" si="0"/>
        <v>8.7051461807077732</v>
      </c>
      <c r="G28" s="341">
        <f t="shared" si="7"/>
        <v>66.739454052092938</v>
      </c>
      <c r="I28" s="271">
        <v>10</v>
      </c>
      <c r="J28" s="272">
        <f>IF($J$12="m",'DATOS DE ENTRADA'!J83,'DATOS DE ENTRADA'!H83)</f>
        <v>100.81494224187644</v>
      </c>
      <c r="K28" s="273">
        <f t="shared" si="8"/>
        <v>100.81494224187644</v>
      </c>
      <c r="L28" s="341">
        <f t="shared" si="1"/>
        <v>0.69434151766962426</v>
      </c>
      <c r="M28" s="274">
        <f t="shared" si="2"/>
        <v>47.779103436555353</v>
      </c>
      <c r="N28" s="274">
        <f t="shared" si="3"/>
        <v>7.1668655154833028</v>
      </c>
      <c r="O28" s="341">
        <f t="shared" si="9"/>
        <v>54.945968952038655</v>
      </c>
    </row>
    <row r="29" spans="1:15" x14ac:dyDescent="0.25">
      <c r="A29" s="271">
        <v>11</v>
      </c>
      <c r="B29" s="272">
        <f>IF($J$12="m",'DATOS DE ENTRADA'!J49,'DATOS DE ENTRADA'!H49)</f>
        <v>83</v>
      </c>
      <c r="C29" s="273">
        <f t="shared" si="4"/>
        <v>83</v>
      </c>
      <c r="D29" s="341">
        <f t="shared" si="5"/>
        <v>0.84337349397590367</v>
      </c>
      <c r="E29" s="274">
        <f t="shared" si="6"/>
        <v>58.034307871385167</v>
      </c>
      <c r="F29" s="274">
        <f t="shared" si="0"/>
        <v>8.7051461807077732</v>
      </c>
      <c r="G29" s="341">
        <f t="shared" si="7"/>
        <v>66.739454052092938</v>
      </c>
      <c r="I29" s="271">
        <v>11</v>
      </c>
      <c r="J29" s="272">
        <f>IF($J$12="m",'DATOS DE ENTRADA'!J84,'DATOS DE ENTRADA'!H84)</f>
        <v>100.38939050913274</v>
      </c>
      <c r="K29" s="273">
        <f t="shared" si="8"/>
        <v>100.38939050913274</v>
      </c>
      <c r="L29" s="341">
        <f t="shared" si="1"/>
        <v>0.69728483901525307</v>
      </c>
      <c r="M29" s="274">
        <f t="shared" si="2"/>
        <v>47.981639582588798</v>
      </c>
      <c r="N29" s="274">
        <f t="shared" si="3"/>
        <v>7.1972459373883204</v>
      </c>
      <c r="O29" s="341">
        <f t="shared" si="9"/>
        <v>55.178885519977115</v>
      </c>
    </row>
    <row r="30" spans="1:15" x14ac:dyDescent="0.25">
      <c r="A30" s="271">
        <v>12</v>
      </c>
      <c r="B30" s="272">
        <f>IF($J$12="m",'DATOS DE ENTRADA'!J50,'DATOS DE ENTRADA'!H50)</f>
        <v>83</v>
      </c>
      <c r="C30" s="273">
        <f t="shared" si="4"/>
        <v>83</v>
      </c>
      <c r="D30" s="341">
        <f t="shared" si="5"/>
        <v>0.84337349397590367</v>
      </c>
      <c r="E30" s="274">
        <f t="shared" si="6"/>
        <v>58.034307871385167</v>
      </c>
      <c r="F30" s="274">
        <f t="shared" si="0"/>
        <v>8.7051461807077732</v>
      </c>
      <c r="G30" s="341">
        <f t="shared" si="7"/>
        <v>66.739454052092938</v>
      </c>
      <c r="I30" s="271">
        <v>12</v>
      </c>
      <c r="J30" s="272">
        <f>IF($J$12="m",'DATOS DE ENTRADA'!J85,'DATOS DE ENTRADA'!H85)</f>
        <v>99.951072224406715</v>
      </c>
      <c r="K30" s="273">
        <f t="shared" si="8"/>
        <v>99.951072224406715</v>
      </c>
      <c r="L30" s="341">
        <f t="shared" si="1"/>
        <v>0.70034266208608953</v>
      </c>
      <c r="M30" s="274">
        <f t="shared" si="2"/>
        <v>48.192054833692509</v>
      </c>
      <c r="N30" s="274">
        <f t="shared" si="3"/>
        <v>7.228808225053875</v>
      </c>
      <c r="O30" s="341">
        <f t="shared" si="9"/>
        <v>55.420863058746384</v>
      </c>
    </row>
    <row r="31" spans="1:15" x14ac:dyDescent="0.25">
      <c r="A31" s="271">
        <v>13</v>
      </c>
      <c r="B31" s="272">
        <f>IF($J$12="m",'DATOS DE ENTRADA'!J51,'DATOS DE ENTRADA'!H51)</f>
        <v>83</v>
      </c>
      <c r="C31" s="273">
        <f t="shared" si="4"/>
        <v>83</v>
      </c>
      <c r="D31" s="341">
        <f t="shared" si="5"/>
        <v>0.84337349397590367</v>
      </c>
      <c r="E31" s="274">
        <f t="shared" si="6"/>
        <v>58.034307871385167</v>
      </c>
      <c r="F31" s="274">
        <f t="shared" si="0"/>
        <v>8.7051461807077732</v>
      </c>
      <c r="G31" s="341">
        <f t="shared" si="7"/>
        <v>66.739454052092938</v>
      </c>
      <c r="I31" s="271">
        <v>13</v>
      </c>
      <c r="J31" s="272">
        <f>IF($J$12="m",'DATOS DE ENTRADA'!J86,'DATOS DE ENTRADA'!H86)</f>
        <v>99.499604391138917</v>
      </c>
      <c r="K31" s="273">
        <f t="shared" si="8"/>
        <v>99.499604391138917</v>
      </c>
      <c r="L31" s="341">
        <f t="shared" si="1"/>
        <v>0.70352038511455584</v>
      </c>
      <c r="M31" s="274">
        <f t="shared" si="2"/>
        <v>48.410720653618398</v>
      </c>
      <c r="N31" s="274">
        <f t="shared" si="3"/>
        <v>7.2616080980427586</v>
      </c>
      <c r="O31" s="341">
        <f t="shared" si="9"/>
        <v>55.672328751661155</v>
      </c>
    </row>
    <row r="32" spans="1:15" x14ac:dyDescent="0.25">
      <c r="A32" s="271">
        <v>14</v>
      </c>
      <c r="B32" s="272">
        <f>IF($J$12="m",'DATOS DE ENTRADA'!J52,'DATOS DE ENTRADA'!H52)</f>
        <v>80</v>
      </c>
      <c r="C32" s="273">
        <f t="shared" si="4"/>
        <v>80</v>
      </c>
      <c r="D32" s="341">
        <f t="shared" si="5"/>
        <v>0.875</v>
      </c>
      <c r="E32" s="274">
        <f t="shared" si="6"/>
        <v>60.210594416562103</v>
      </c>
      <c r="F32" s="274">
        <f t="shared" si="0"/>
        <v>9.0315891624843143</v>
      </c>
      <c r="G32" s="341">
        <f t="shared" si="7"/>
        <v>69.242183579046412</v>
      </c>
      <c r="I32" s="271">
        <v>14</v>
      </c>
      <c r="J32" s="272">
        <f>IF($J$12="m",'DATOS DE ENTRADA'!J87,'DATOS DE ENTRADA'!H87)</f>
        <v>99.034592522873083</v>
      </c>
      <c r="K32" s="273">
        <f t="shared" si="8"/>
        <v>99.034592522873083</v>
      </c>
      <c r="L32" s="341">
        <f t="shared" si="1"/>
        <v>0.70682372913113933</v>
      </c>
      <c r="M32" s="274">
        <f t="shared" si="2"/>
        <v>48.638030718533692</v>
      </c>
      <c r="N32" s="274">
        <f t="shared" si="3"/>
        <v>7.2957046077800536</v>
      </c>
      <c r="O32" s="341">
        <f t="shared" si="9"/>
        <v>55.933735326313744</v>
      </c>
    </row>
    <row r="33" spans="1:15" x14ac:dyDescent="0.25">
      <c r="A33" s="271">
        <v>15</v>
      </c>
      <c r="B33" s="272">
        <f>IF($J$12="m",'DATOS DE ENTRADA'!J53,'DATOS DE ENTRADA'!H53)</f>
        <v>80</v>
      </c>
      <c r="C33" s="273">
        <f t="shared" si="4"/>
        <v>80</v>
      </c>
      <c r="D33" s="341">
        <f t="shared" si="5"/>
        <v>0.875</v>
      </c>
      <c r="E33" s="274">
        <f t="shared" si="6"/>
        <v>60.210594416562103</v>
      </c>
      <c r="F33" s="274">
        <f t="shared" si="0"/>
        <v>9.0315891624843143</v>
      </c>
      <c r="G33" s="341">
        <f t="shared" si="7"/>
        <v>69.242183579046412</v>
      </c>
      <c r="I33" s="271">
        <v>15</v>
      </c>
      <c r="J33" s="272">
        <f>IF($J$12="m",'DATOS DE ENTRADA'!J88,'DATOS DE ENTRADA'!H88)</f>
        <v>98.555630298559279</v>
      </c>
      <c r="K33" s="273">
        <f t="shared" si="8"/>
        <v>98.555630298559279</v>
      </c>
      <c r="L33" s="341">
        <f t="shared" si="1"/>
        <v>0.71025876236543417</v>
      </c>
      <c r="M33" s="274">
        <f t="shared" si="2"/>
        <v>48.87440259610802</v>
      </c>
      <c r="N33" s="274">
        <f t="shared" si="3"/>
        <v>7.3311603894162038</v>
      </c>
      <c r="O33" s="341">
        <f t="shared" si="9"/>
        <v>56.205562985524224</v>
      </c>
    </row>
    <row r="34" spans="1:15" x14ac:dyDescent="0.25">
      <c r="A34" s="271">
        <v>16</v>
      </c>
      <c r="B34" s="272">
        <f>IF($J$12="m",'DATOS DE ENTRADA'!J54,'DATOS DE ENTRADA'!H54)</f>
        <v>80</v>
      </c>
      <c r="C34" s="273">
        <f t="shared" si="4"/>
        <v>80</v>
      </c>
      <c r="D34" s="341">
        <f t="shared" si="5"/>
        <v>0.875</v>
      </c>
      <c r="E34" s="274">
        <f t="shared" si="6"/>
        <v>60.210594416562103</v>
      </c>
      <c r="F34" s="274">
        <f t="shared" si="0"/>
        <v>9.0315891624843143</v>
      </c>
      <c r="G34" s="341">
        <f t="shared" si="7"/>
        <v>69.242183579046412</v>
      </c>
      <c r="I34" s="271">
        <v>16</v>
      </c>
      <c r="J34" s="272">
        <f>IF($J$12="m",'DATOS DE ENTRADA'!J89,'DATOS DE ENTRADA'!H89)</f>
        <v>98.246404650912623</v>
      </c>
      <c r="K34" s="273">
        <f t="shared" si="8"/>
        <v>98.246404650912623</v>
      </c>
      <c r="L34" s="341">
        <f t="shared" si="1"/>
        <v>0.71249426631664292</v>
      </c>
      <c r="M34" s="274">
        <f t="shared" si="2"/>
        <v>49.028232335219855</v>
      </c>
      <c r="N34" s="274">
        <f t="shared" si="3"/>
        <v>7.3542348502829782</v>
      </c>
      <c r="O34" s="341">
        <f t="shared" si="9"/>
        <v>56.382467185502833</v>
      </c>
    </row>
    <row r="35" spans="1:15" x14ac:dyDescent="0.25">
      <c r="A35" s="271">
        <v>17</v>
      </c>
      <c r="B35" s="272">
        <f>IF($J$12="m",'DATOS DE ENTRADA'!J55,'DATOS DE ENTRADA'!H55)</f>
        <v>80</v>
      </c>
      <c r="C35" s="273">
        <f t="shared" si="4"/>
        <v>80</v>
      </c>
      <c r="D35" s="341">
        <f t="shared" si="5"/>
        <v>0.875</v>
      </c>
      <c r="E35" s="274">
        <f t="shared" si="6"/>
        <v>60.210594416562103</v>
      </c>
      <c r="F35" s="274">
        <f t="shared" si="0"/>
        <v>9.0315891624843143</v>
      </c>
      <c r="G35" s="341">
        <f t="shared" si="7"/>
        <v>69.242183579046412</v>
      </c>
      <c r="I35" s="271">
        <v>17</v>
      </c>
      <c r="J35" s="272">
        <f>IF($J$12="m",'DATOS DE ENTRADA'!J90,'DATOS DE ENTRADA'!H90)</f>
        <v>97.743796790440001</v>
      </c>
      <c r="K35" s="273">
        <f t="shared" si="8"/>
        <v>97.743796790440001</v>
      </c>
      <c r="L35" s="341">
        <f t="shared" si="1"/>
        <v>0.71615797931482106</v>
      </c>
      <c r="M35" s="274">
        <f t="shared" si="2"/>
        <v>49.280340149382127</v>
      </c>
      <c r="N35" s="274">
        <f t="shared" si="3"/>
        <v>7.3920510224073199</v>
      </c>
      <c r="O35" s="341">
        <f t="shared" si="9"/>
        <v>56.67239117178945</v>
      </c>
    </row>
    <row r="36" spans="1:15" x14ac:dyDescent="0.25">
      <c r="A36" s="271">
        <v>18</v>
      </c>
      <c r="B36" s="272">
        <f>IF($J$12="m",'DATOS DE ENTRADA'!J56,'DATOS DE ENTRADA'!H56)</f>
        <v>80</v>
      </c>
      <c r="C36" s="273">
        <f t="shared" si="4"/>
        <v>80</v>
      </c>
      <c r="D36" s="341">
        <f t="shared" si="5"/>
        <v>0.875</v>
      </c>
      <c r="E36" s="274">
        <f t="shared" si="6"/>
        <v>60.210594416562103</v>
      </c>
      <c r="F36" s="274">
        <f t="shared" si="0"/>
        <v>9.0315891624843143</v>
      </c>
      <c r="G36" s="341">
        <f t="shared" si="7"/>
        <v>69.242183579046412</v>
      </c>
      <c r="I36" s="271">
        <v>18</v>
      </c>
      <c r="J36" s="272">
        <f>IF($J$12="m",'DATOS DE ENTRADA'!J91,'DATOS DE ENTRADA'!H91)</f>
        <v>97.226110694153206</v>
      </c>
      <c r="K36" s="273">
        <f t="shared" si="8"/>
        <v>97.226110694153206</v>
      </c>
      <c r="L36" s="341">
        <f t="shared" si="1"/>
        <v>0.71997120423957806</v>
      </c>
      <c r="M36" s="274">
        <f t="shared" si="2"/>
        <v>49.542736194369184</v>
      </c>
      <c r="N36" s="274">
        <f t="shared" si="3"/>
        <v>7.4314104291553775</v>
      </c>
      <c r="O36" s="341">
        <f t="shared" si="9"/>
        <v>56.974146623524561</v>
      </c>
    </row>
    <row r="37" spans="1:15" x14ac:dyDescent="0.25">
      <c r="A37" s="271">
        <v>19</v>
      </c>
      <c r="B37" s="272">
        <f>IF($J$12="m",'DATOS DE ENTRADA'!J57,'DATOS DE ENTRADA'!H57)</f>
        <v>80</v>
      </c>
      <c r="C37" s="273">
        <f t="shared" si="4"/>
        <v>80</v>
      </c>
      <c r="D37" s="341">
        <f t="shared" si="5"/>
        <v>0.875</v>
      </c>
      <c r="E37" s="274">
        <f t="shared" si="6"/>
        <v>60.210594416562103</v>
      </c>
      <c r="F37" s="274">
        <f t="shared" si="0"/>
        <v>9.0315891624843143</v>
      </c>
      <c r="G37" s="341">
        <f t="shared" si="7"/>
        <v>69.242183579046412</v>
      </c>
      <c r="I37" s="271">
        <v>19</v>
      </c>
      <c r="J37" s="272">
        <f>IF($J$12="m",'DATOS DE ENTRADA'!J92,'DATOS DE ENTRADA'!H92)</f>
        <v>96.69289401497781</v>
      </c>
      <c r="K37" s="273">
        <f t="shared" si="8"/>
        <v>96.69289401497781</v>
      </c>
      <c r="L37" s="341">
        <f t="shared" si="1"/>
        <v>0.72394151310805677</v>
      </c>
      <c r="M37" s="274">
        <f t="shared" si="2"/>
        <v>49.815941516641693</v>
      </c>
      <c r="N37" s="274">
        <f t="shared" si="3"/>
        <v>7.4723912274962547</v>
      </c>
      <c r="O37" s="341">
        <f t="shared" si="9"/>
        <v>57.288332744137946</v>
      </c>
    </row>
    <row r="38" spans="1:15" x14ac:dyDescent="0.25">
      <c r="A38" s="271">
        <v>20</v>
      </c>
      <c r="B38" s="272">
        <f>IF($J$12="m",'DATOS DE ENTRADA'!J58,'DATOS DE ENTRADA'!H58)</f>
        <v>80</v>
      </c>
      <c r="C38" s="273">
        <f t="shared" si="4"/>
        <v>80</v>
      </c>
      <c r="D38" s="341">
        <f t="shared" si="5"/>
        <v>0.875</v>
      </c>
      <c r="E38" s="274">
        <f t="shared" si="6"/>
        <v>60.210594416562103</v>
      </c>
      <c r="F38" s="274">
        <f t="shared" si="0"/>
        <v>9.0315891624843143</v>
      </c>
      <c r="G38" s="341">
        <f t="shared" si="7"/>
        <v>69.242183579046412</v>
      </c>
      <c r="I38" s="271">
        <v>20</v>
      </c>
      <c r="J38" s="272">
        <f>IF($J$12="m",'DATOS DE ENTRADA'!J93,'DATOS DE ENTRADA'!H93)</f>
        <v>96.143680835427134</v>
      </c>
      <c r="K38" s="273">
        <f t="shared" si="8"/>
        <v>96.143680835427134</v>
      </c>
      <c r="L38" s="341">
        <f t="shared" si="1"/>
        <v>0.72807697179621944</v>
      </c>
      <c r="M38" s="274">
        <f t="shared" si="2"/>
        <v>50.100511146126735</v>
      </c>
      <c r="N38" s="274">
        <f t="shared" si="3"/>
        <v>7.5150766719190099</v>
      </c>
      <c r="O38" s="341">
        <f t="shared" si="9"/>
        <v>57.615587818045746</v>
      </c>
    </row>
    <row r="39" spans="1:15" x14ac:dyDescent="0.25">
      <c r="A39" s="271">
        <v>21</v>
      </c>
      <c r="B39" s="272">
        <f>IF($J$12="m",'DATOS DE ENTRADA'!J59,'DATOS DE ENTRADA'!H59)</f>
        <v>80</v>
      </c>
      <c r="C39" s="273">
        <f t="shared" si="4"/>
        <v>80</v>
      </c>
      <c r="D39" s="341">
        <f t="shared" si="5"/>
        <v>0.875</v>
      </c>
      <c r="E39" s="274">
        <f t="shared" si="6"/>
        <v>60.210594416562103</v>
      </c>
      <c r="F39" s="274">
        <f t="shared" si="0"/>
        <v>9.0315891624843143</v>
      </c>
      <c r="G39" s="341">
        <f t="shared" si="7"/>
        <v>69.242183579046412</v>
      </c>
      <c r="I39" s="271">
        <v>21</v>
      </c>
      <c r="J39" s="272">
        <f>IF($J$12="m",'DATOS DE ENTRADA'!J94,'DATOS DE ENTRADA'!H94)</f>
        <v>95.577991260489952</v>
      </c>
      <c r="K39" s="273">
        <f t="shared" si="8"/>
        <v>95.577991260489952</v>
      </c>
      <c r="L39" s="341">
        <f t="shared" si="1"/>
        <v>0.73238618092758156</v>
      </c>
      <c r="M39" s="274">
        <f t="shared" si="2"/>
        <v>50.397036909857704</v>
      </c>
      <c r="N39" s="274">
        <f t="shared" si="3"/>
        <v>7.5595555364786549</v>
      </c>
      <c r="O39" s="341">
        <f t="shared" si="9"/>
        <v>57.956592446336359</v>
      </c>
    </row>
    <row r="40" spans="1:15" x14ac:dyDescent="0.25">
      <c r="A40" s="271">
        <v>22</v>
      </c>
      <c r="B40" s="272">
        <f>IF($J$12="m",'DATOS DE ENTRADA'!J60,'DATOS DE ENTRADA'!H60)</f>
        <v>80</v>
      </c>
      <c r="C40" s="273">
        <f t="shared" si="4"/>
        <v>80</v>
      </c>
      <c r="D40" s="341">
        <f t="shared" si="5"/>
        <v>0.875</v>
      </c>
      <c r="E40" s="274">
        <f t="shared" si="6"/>
        <v>60.210594416562103</v>
      </c>
      <c r="F40" s="274">
        <f t="shared" si="0"/>
        <v>9.0315891624843143</v>
      </c>
      <c r="G40" s="341">
        <f t="shared" si="7"/>
        <v>69.242183579046412</v>
      </c>
      <c r="I40" s="271">
        <v>22</v>
      </c>
      <c r="J40" s="272">
        <f>IF($J$12="m",'DATOS DE ENTRADA'!J95,'DATOS DE ENTRADA'!H95)</f>
        <v>94.995330998304652</v>
      </c>
      <c r="K40" s="273">
        <f t="shared" si="8"/>
        <v>94.995330998304652</v>
      </c>
      <c r="L40" s="341">
        <f t="shared" si="1"/>
        <v>0.73687832090662708</v>
      </c>
      <c r="M40" s="274">
        <f t="shared" si="2"/>
        <v>50.706150530818533</v>
      </c>
      <c r="N40" s="274">
        <f t="shared" si="3"/>
        <v>7.6059225796227805</v>
      </c>
      <c r="O40" s="341">
        <f t="shared" si="9"/>
        <v>58.312073110441311</v>
      </c>
    </row>
    <row r="41" spans="1:15" x14ac:dyDescent="0.25">
      <c r="A41" s="271">
        <v>23</v>
      </c>
      <c r="B41" s="272">
        <f>IF($J$12="m",'DATOS DE ENTRADA'!J61,'DATOS DE ENTRADA'!H61)</f>
        <v>80</v>
      </c>
      <c r="C41" s="273">
        <f t="shared" si="4"/>
        <v>80</v>
      </c>
      <c r="D41" s="341">
        <f t="shared" si="5"/>
        <v>0.875</v>
      </c>
      <c r="E41" s="274">
        <f t="shared" si="6"/>
        <v>60.210594416562103</v>
      </c>
      <c r="F41" s="274">
        <f t="shared" si="0"/>
        <v>9.0315891624843143</v>
      </c>
      <c r="G41" s="341">
        <f t="shared" si="7"/>
        <v>69.242183579046412</v>
      </c>
      <c r="I41" s="271">
        <v>23</v>
      </c>
      <c r="J41" s="272">
        <f>IF($J$12="m",'DATOS DE ENTRADA'!J96,'DATOS DE ENTRADA'!H96)</f>
        <v>94.395190928253797</v>
      </c>
      <c r="K41" s="273">
        <f t="shared" si="8"/>
        <v>94.395190928253797</v>
      </c>
      <c r="L41" s="341">
        <f t="shared" si="1"/>
        <v>0.74156320159577138</v>
      </c>
      <c r="M41" s="274">
        <f t="shared" si="2"/>
        <v>51.028527046320313</v>
      </c>
      <c r="N41" s="274">
        <f t="shared" si="3"/>
        <v>7.6542790569480452</v>
      </c>
      <c r="O41" s="341">
        <f t="shared" si="9"/>
        <v>58.682806103268362</v>
      </c>
    </row>
    <row r="42" spans="1:15" x14ac:dyDescent="0.25">
      <c r="A42" s="271">
        <v>24</v>
      </c>
      <c r="B42" s="272">
        <f>IF($J$12="m",'DATOS DE ENTRADA'!J62,'DATOS DE ENTRADA'!H62)</f>
        <v>80</v>
      </c>
      <c r="C42" s="273">
        <f t="shared" si="4"/>
        <v>80</v>
      </c>
      <c r="D42" s="341">
        <f t="shared" si="5"/>
        <v>0.875</v>
      </c>
      <c r="E42" s="274">
        <f t="shared" si="6"/>
        <v>60.210594416562103</v>
      </c>
      <c r="F42" s="274">
        <f t="shared" si="0"/>
        <v>9.0315891624843143</v>
      </c>
      <c r="G42" s="341">
        <f t="shared" si="7"/>
        <v>69.242183579046412</v>
      </c>
      <c r="I42" s="271">
        <v>24</v>
      </c>
      <c r="J42" s="272">
        <f>IF($J$12="m",'DATOS DE ENTRADA'!J97,'DATOS DE ENTRADA'!H97)</f>
        <v>93.777046656101405</v>
      </c>
      <c r="K42" s="273">
        <f t="shared" si="8"/>
        <v>93.777046656101405</v>
      </c>
      <c r="L42" s="341">
        <f t="shared" si="1"/>
        <v>0.74645131720455604</v>
      </c>
      <c r="M42" s="274">
        <f t="shared" si="2"/>
        <v>51.364888585042365</v>
      </c>
      <c r="N42" s="274">
        <f t="shared" si="3"/>
        <v>7.7047332877563548</v>
      </c>
      <c r="O42" s="341">
        <f t="shared" si="9"/>
        <v>59.06962187279872</v>
      </c>
    </row>
    <row r="43" spans="1:15" x14ac:dyDescent="0.25">
      <c r="A43" s="271">
        <v>25</v>
      </c>
      <c r="B43" s="272">
        <f>IF($J$12="m",'DATOS DE ENTRADA'!J63,'DATOS DE ENTRADA'!H63)</f>
        <v>80</v>
      </c>
      <c r="C43" s="273">
        <f t="shared" si="4"/>
        <v>80</v>
      </c>
      <c r="D43" s="341">
        <f t="shared" si="5"/>
        <v>0.875</v>
      </c>
      <c r="E43" s="274">
        <f t="shared" si="6"/>
        <v>60.210594416562103</v>
      </c>
      <c r="F43" s="274">
        <f t="shared" si="0"/>
        <v>9.0315891624843143</v>
      </c>
      <c r="G43" s="341">
        <f t="shared" si="7"/>
        <v>69.242183579046412</v>
      </c>
      <c r="I43" s="271">
        <v>25</v>
      </c>
      <c r="J43" s="272">
        <f>IF($J$12="m",'DATOS DE ENTRADA'!J98,'DATOS DE ENTRADA'!H98)</f>
        <v>93.140358055784446</v>
      </c>
      <c r="K43" s="273">
        <f t="shared" si="8"/>
        <v>93.140358055784446</v>
      </c>
      <c r="L43" s="341">
        <f t="shared" si="1"/>
        <v>0.75155390704075864</v>
      </c>
      <c r="M43" s="274">
        <f t="shared" si="2"/>
        <v>51.716008547444268</v>
      </c>
      <c r="N43" s="274">
        <f t="shared" si="3"/>
        <v>7.7574012821166409</v>
      </c>
      <c r="O43" s="341">
        <f t="shared" si="9"/>
        <v>59.473409829560907</v>
      </c>
    </row>
    <row r="44" spans="1:15" x14ac:dyDescent="0.25">
      <c r="A44" s="271">
        <v>26</v>
      </c>
      <c r="B44" s="272">
        <f>IF($J$12="m",'DATOS DE ENTRADA'!J64,'DATOS DE ENTRADA'!H64)</f>
        <v>80</v>
      </c>
      <c r="C44" s="273">
        <f t="shared" si="4"/>
        <v>80</v>
      </c>
      <c r="D44" s="341">
        <f t="shared" si="5"/>
        <v>0.875</v>
      </c>
      <c r="E44" s="274">
        <f t="shared" si="6"/>
        <v>60.210594416562103</v>
      </c>
      <c r="F44" s="274">
        <f t="shared" si="0"/>
        <v>9.0315891624843143</v>
      </c>
      <c r="G44" s="341">
        <f t="shared" si="7"/>
        <v>69.242183579046412</v>
      </c>
      <c r="I44" s="271">
        <v>26</v>
      </c>
      <c r="J44" s="272">
        <f>IF($J$12="m",'DATOS DE ENTRADA'!J99,'DATOS DE ENTRADA'!H99)</f>
        <v>92.726670208238005</v>
      </c>
      <c r="K44" s="273">
        <f t="shared" si="8"/>
        <v>92.726670208238005</v>
      </c>
      <c r="L44" s="341">
        <f t="shared" si="1"/>
        <v>0.75490686598364531</v>
      </c>
      <c r="M44" s="274">
        <f t="shared" si="2"/>
        <v>51.94673272002202</v>
      </c>
      <c r="N44" s="274">
        <f t="shared" si="3"/>
        <v>7.792009908003303</v>
      </c>
      <c r="O44" s="341">
        <f t="shared" si="9"/>
        <v>59.738742628025321</v>
      </c>
    </row>
    <row r="45" spans="1:15" x14ac:dyDescent="0.25">
      <c r="A45" s="271">
        <v>27</v>
      </c>
      <c r="B45" s="272">
        <f>IF($J$12="m",'DATOS DE ENTRADA'!J65,'DATOS DE ENTRADA'!H65)</f>
        <v>80</v>
      </c>
      <c r="C45" s="273">
        <f t="shared" si="4"/>
        <v>80</v>
      </c>
      <c r="D45" s="341">
        <f t="shared" si="5"/>
        <v>0.875</v>
      </c>
      <c r="E45" s="274">
        <f t="shared" si="6"/>
        <v>60.210594416562103</v>
      </c>
      <c r="F45" s="274">
        <f t="shared" si="0"/>
        <v>9.0315891624843143</v>
      </c>
      <c r="G45" s="341">
        <f t="shared" si="7"/>
        <v>69.242183579046412</v>
      </c>
      <c r="I45" s="271">
        <v>27</v>
      </c>
      <c r="J45" s="272">
        <f>IF($J$12="m",'DATOS DE ENTRADA'!J100,'DATOS DE ENTRADA'!H100)</f>
        <v>92.058470314485149</v>
      </c>
      <c r="K45" s="273">
        <f t="shared" si="8"/>
        <v>92.058470314485149</v>
      </c>
      <c r="L45" s="341">
        <f t="shared" si="1"/>
        <v>0.76038630406164476</v>
      </c>
      <c r="M45" s="274">
        <f t="shared" si="2"/>
        <v>52.323784404302131</v>
      </c>
      <c r="N45" s="274">
        <f t="shared" si="3"/>
        <v>7.8485676606453181</v>
      </c>
      <c r="O45" s="341">
        <f t="shared" si="9"/>
        <v>60.172352064947447</v>
      </c>
    </row>
    <row r="46" spans="1:15" x14ac:dyDescent="0.25">
      <c r="A46" s="271">
        <v>28</v>
      </c>
      <c r="B46" s="272">
        <f>IF($J$12="m",'DATOS DE ENTRADA'!J66,'DATOS DE ENTRADA'!H66)</f>
        <v>80</v>
      </c>
      <c r="C46" s="273">
        <f t="shared" si="4"/>
        <v>80</v>
      </c>
      <c r="D46" s="341">
        <f t="shared" si="5"/>
        <v>0.875</v>
      </c>
      <c r="E46" s="274">
        <f t="shared" si="6"/>
        <v>60.210594416562103</v>
      </c>
      <c r="F46" s="274">
        <f t="shared" si="0"/>
        <v>9.0315891624843143</v>
      </c>
      <c r="G46" s="341">
        <f t="shared" si="7"/>
        <v>69.242183579046412</v>
      </c>
      <c r="I46" s="271">
        <v>28</v>
      </c>
      <c r="J46" s="272">
        <f>IF($J$12="m",'DATOS DE ENTRADA'!J101,'DATOS DE ENTRADA'!H101)</f>
        <v>91.370224423919694</v>
      </c>
      <c r="K46" s="273">
        <f t="shared" si="8"/>
        <v>91.370224423919694</v>
      </c>
      <c r="L46" s="341">
        <f t="shared" si="1"/>
        <v>0.76611391119309535</v>
      </c>
      <c r="M46" s="274">
        <f t="shared" si="2"/>
        <v>52.717913124266914</v>
      </c>
      <c r="N46" s="274">
        <f t="shared" si="3"/>
        <v>7.9076869686400357</v>
      </c>
      <c r="O46" s="341">
        <f t="shared" si="9"/>
        <v>60.62560009290695</v>
      </c>
    </row>
    <row r="47" spans="1:15" x14ac:dyDescent="0.25">
      <c r="A47" s="271">
        <v>29</v>
      </c>
      <c r="B47" s="272">
        <f>IF($J$12="m",'DATOS DE ENTRADA'!J67,'DATOS DE ENTRADA'!H67)</f>
        <v>80</v>
      </c>
      <c r="C47" s="273">
        <f t="shared" si="4"/>
        <v>80</v>
      </c>
      <c r="D47" s="341">
        <f t="shared" si="5"/>
        <v>0.875</v>
      </c>
      <c r="E47" s="274">
        <f t="shared" si="6"/>
        <v>60.210594416562103</v>
      </c>
      <c r="F47" s="274">
        <f t="shared" si="0"/>
        <v>9.0315891624843143</v>
      </c>
      <c r="G47" s="341">
        <f t="shared" si="7"/>
        <v>69.242183579046412</v>
      </c>
      <c r="I47" s="271">
        <v>29</v>
      </c>
      <c r="J47" s="272">
        <f>IF($J$12="m",'DATOS DE ENTRADA'!J102,'DATOS DE ENTRADA'!H102)</f>
        <v>90.661331156637289</v>
      </c>
      <c r="K47" s="273">
        <f t="shared" si="8"/>
        <v>90.661331156637289</v>
      </c>
      <c r="L47" s="341">
        <f t="shared" si="1"/>
        <v>0.77210425996348631</v>
      </c>
      <c r="M47" s="274">
        <f t="shared" si="2"/>
        <v>53.130121650241492</v>
      </c>
      <c r="N47" s="274">
        <f t="shared" si="3"/>
        <v>7.9695182475362225</v>
      </c>
      <c r="O47" s="341">
        <f t="shared" si="9"/>
        <v>61.099639897777713</v>
      </c>
    </row>
    <row r="48" spans="1:15" x14ac:dyDescent="0.25">
      <c r="A48" s="271">
        <v>30</v>
      </c>
      <c r="B48" s="272">
        <f>IF($J$12="m",'DATOS DE ENTRADA'!J68,'DATOS DE ENTRADA'!H68)</f>
        <v>80</v>
      </c>
      <c r="C48" s="273">
        <f t="shared" si="4"/>
        <v>80</v>
      </c>
      <c r="D48" s="341">
        <f t="shared" si="5"/>
        <v>0.875</v>
      </c>
      <c r="E48" s="274">
        <f t="shared" si="6"/>
        <v>60.210594416562103</v>
      </c>
      <c r="F48" s="274">
        <f t="shared" si="0"/>
        <v>9.0315891624843143</v>
      </c>
      <c r="G48" s="341">
        <f t="shared" si="7"/>
        <v>69.242183579046412</v>
      </c>
      <c r="I48" s="271">
        <v>30</v>
      </c>
      <c r="J48" s="272">
        <f>IF($J$12="m",'DATOS DE ENTRADA'!J103,'DATOS DE ENTRADA'!H103)</f>
        <v>89.93117109133641</v>
      </c>
      <c r="K48" s="273">
        <f t="shared" si="8"/>
        <v>89.93117109133641</v>
      </c>
      <c r="L48" s="341">
        <f t="shared" si="1"/>
        <v>0.77837305075129293</v>
      </c>
      <c r="M48" s="274">
        <f t="shared" si="2"/>
        <v>53.56149035836367</v>
      </c>
      <c r="N48" s="274">
        <f t="shared" si="3"/>
        <v>8.0342235537545488</v>
      </c>
      <c r="O48" s="341">
        <f t="shared" si="9"/>
        <v>61.595713912118221</v>
      </c>
    </row>
    <row r="49" spans="1:15" x14ac:dyDescent="0.25">
      <c r="A49" s="271">
        <v>31</v>
      </c>
      <c r="B49" s="272">
        <f>IF($J$12="m",'DATOS DE ENTRADA'!J69,'DATOS DE ENTRADA'!H69)</f>
        <v>80</v>
      </c>
      <c r="C49" s="273">
        <f>IF(B49&lt;=60,60,B49)</f>
        <v>80</v>
      </c>
      <c r="D49" s="341">
        <f>$B$16/C49</f>
        <v>0.875</v>
      </c>
      <c r="E49" s="274">
        <f>(D49*$F$2*$J$2*$J$5)</f>
        <v>60.210594416562103</v>
      </c>
      <c r="F49" s="274">
        <f>(D49*$F$4*$J$3*$J$5)</f>
        <v>9.0315891624843143</v>
      </c>
      <c r="G49" s="341">
        <f>E49+F49</f>
        <v>69.242183579046412</v>
      </c>
      <c r="I49" s="271">
        <v>31</v>
      </c>
      <c r="J49" s="272">
        <f>IF($J$12="m",'DATOS DE ENTRADA'!J104,'DATOS DE ENTRADA'!H104)</f>
        <v>89.179106224076492</v>
      </c>
      <c r="K49" s="273">
        <f>IF(J49&lt;=60,60,J49)</f>
        <v>89.179106224076492</v>
      </c>
      <c r="L49" s="341">
        <f>$J$16/K49</f>
        <v>0.78493722312168079</v>
      </c>
      <c r="M49" s="274">
        <f>(L49*$F$2*$J$2*$J$5)</f>
        <v>54.013184895819471</v>
      </c>
      <c r="N49" s="274">
        <f>(L49*$F$4*$J$3*$J$5)</f>
        <v>8.1019777343729196</v>
      </c>
      <c r="O49" s="341">
        <f>M49+N49</f>
        <v>62.115162630192387</v>
      </c>
    </row>
    <row r="50" spans="1:15" x14ac:dyDescent="0.25">
      <c r="A50" s="271">
        <v>32</v>
      </c>
      <c r="B50" s="272">
        <f>IF($J$12="m",'DATOS DE ENTRADA'!J70,'DATOS DE ENTRADA'!H70)</f>
        <v>80</v>
      </c>
      <c r="C50" s="273">
        <f>IF(B50&lt;=60,60,B50)</f>
        <v>80</v>
      </c>
      <c r="D50" s="341">
        <f>$B$16/C50</f>
        <v>0.875</v>
      </c>
      <c r="E50" s="274">
        <f>(D50*$F$2*$J$2*$J$5)</f>
        <v>60.210594416562103</v>
      </c>
      <c r="F50" s="274">
        <f>(D50*$F$4*$J$3*$J$5)</f>
        <v>9.0315891624843143</v>
      </c>
      <c r="G50" s="341">
        <f>E50+F50</f>
        <v>69.242183579046412</v>
      </c>
      <c r="H50" s="352"/>
      <c r="I50" s="271">
        <v>32</v>
      </c>
      <c r="J50" s="272">
        <f>IF($J$12="m",'DATOS DE ENTRADA'!J105,'DATOS DE ENTRADA'!H105)</f>
        <v>88.4044794107988</v>
      </c>
      <c r="K50" s="273">
        <f>IF(J50&lt;=60,60,J50)</f>
        <v>88.4044794107988</v>
      </c>
      <c r="L50" s="341">
        <f>$J$16/K50</f>
        <v>0.79181508071240725</v>
      </c>
      <c r="M50" s="274">
        <f>(L50*$F$2*$J$2*$J$5)</f>
        <v>54.486464774505308</v>
      </c>
      <c r="N50" s="274">
        <f>(L50*$F$4*$J$3*$J$5)</f>
        <v>8.1729697161757962</v>
      </c>
      <c r="O50" s="341">
        <f>M50+N50</f>
        <v>62.659434490681107</v>
      </c>
    </row>
    <row r="51" spans="1:15" x14ac:dyDescent="0.25">
      <c r="A51" t="s">
        <v>226</v>
      </c>
      <c r="G51" s="344"/>
      <c r="H51" s="344"/>
      <c r="I51" s="344"/>
      <c r="J51" s="344"/>
      <c r="K51" s="344"/>
      <c r="L51" s="344"/>
      <c r="M51" s="344"/>
      <c r="N51" s="344"/>
    </row>
    <row r="52" spans="1:15" x14ac:dyDescent="0.25">
      <c r="A52" s="340"/>
      <c r="B52" s="340"/>
      <c r="C52" t="s">
        <v>337</v>
      </c>
      <c r="G52" s="351"/>
      <c r="H52" s="351"/>
      <c r="I52" s="346"/>
      <c r="J52" s="346"/>
      <c r="K52" s="346"/>
      <c r="L52" s="346"/>
      <c r="M52" s="346"/>
      <c r="N52" s="346"/>
    </row>
    <row r="53" spans="1:15" x14ac:dyDescent="0.25">
      <c r="A53" s="106" t="s">
        <v>247</v>
      </c>
      <c r="B53" s="107">
        <f>B16</f>
        <v>70</v>
      </c>
      <c r="C53" s="152"/>
      <c r="D53" s="152"/>
      <c r="E53" s="152"/>
      <c r="F53" s="152"/>
      <c r="G53" s="351"/>
      <c r="H53" s="351"/>
      <c r="I53" s="346"/>
      <c r="J53" s="346"/>
      <c r="K53" s="346"/>
      <c r="L53" s="346"/>
      <c r="M53" s="346"/>
      <c r="N53" s="346"/>
    </row>
    <row r="54" spans="1:15" ht="25.5" x14ac:dyDescent="0.25">
      <c r="A54" s="35" t="s">
        <v>18</v>
      </c>
      <c r="B54" s="95" t="s">
        <v>20</v>
      </c>
      <c r="C54" s="270" t="s">
        <v>331</v>
      </c>
      <c r="D54" s="270" t="s">
        <v>332</v>
      </c>
      <c r="E54" s="270" t="s">
        <v>333</v>
      </c>
      <c r="F54" s="270" t="s">
        <v>334</v>
      </c>
      <c r="G54" s="270" t="s">
        <v>53</v>
      </c>
      <c r="H54" s="351"/>
      <c r="I54" s="346"/>
      <c r="J54" s="346"/>
      <c r="K54" s="346"/>
      <c r="L54" s="346"/>
      <c r="M54" s="346"/>
      <c r="N54" s="346"/>
    </row>
    <row r="55" spans="1:15" x14ac:dyDescent="0.25">
      <c r="A55" s="271">
        <v>0</v>
      </c>
      <c r="B55" s="272">
        <f>IF($J$12="m",'DATOS DE ENTRADA'!J108,'DATOS DE ENTRADA'!H108)</f>
        <v>80</v>
      </c>
      <c r="C55" s="273">
        <f>IF(B55&lt;=60,60,B55)</f>
        <v>80</v>
      </c>
      <c r="D55" s="341">
        <f>$B$53/C55</f>
        <v>0.875</v>
      </c>
      <c r="E55" s="274">
        <f t="shared" ref="E55:E85" si="10">(D55*$F$2*$J$2*$J$5)</f>
        <v>60.210594416562103</v>
      </c>
      <c r="F55" s="274">
        <f t="shared" ref="F55:F85" si="11">(D55*$F$4*$J$3*$J$5)</f>
        <v>9.0315891624843143</v>
      </c>
      <c r="G55" s="341">
        <f>E55+F55</f>
        <v>69.242183579046412</v>
      </c>
      <c r="H55" s="351"/>
      <c r="I55" s="346"/>
      <c r="J55" s="346"/>
      <c r="K55" s="346"/>
      <c r="L55" s="346"/>
      <c r="M55" s="346"/>
      <c r="N55" s="346"/>
    </row>
    <row r="56" spans="1:15" x14ac:dyDescent="0.25">
      <c r="A56" s="271">
        <v>1</v>
      </c>
      <c r="B56" s="272">
        <f>IF($J$12="m",'DATOS DE ENTRADA'!J109,'DATOS DE ENTRADA'!H109)</f>
        <v>80</v>
      </c>
      <c r="C56" s="273">
        <f t="shared" ref="C56:C85" si="12">IF(B56&lt;=60,60,B56)</f>
        <v>80</v>
      </c>
      <c r="D56" s="341">
        <f t="shared" ref="D56:D85" si="13">$B$53/C56</f>
        <v>0.875</v>
      </c>
      <c r="E56" s="274">
        <f t="shared" si="10"/>
        <v>60.210594416562103</v>
      </c>
      <c r="F56" s="274">
        <f t="shared" si="11"/>
        <v>9.0315891624843143</v>
      </c>
      <c r="G56" s="341">
        <f t="shared" ref="G56:G85" si="14">E56+F56</f>
        <v>69.242183579046412</v>
      </c>
      <c r="H56" s="351"/>
      <c r="I56" s="346"/>
      <c r="J56" s="346"/>
      <c r="K56" s="346"/>
      <c r="L56" s="346"/>
      <c r="M56" s="346"/>
      <c r="N56" s="346"/>
    </row>
    <row r="57" spans="1:15" x14ac:dyDescent="0.25">
      <c r="A57" s="271">
        <v>2</v>
      </c>
      <c r="B57" s="272">
        <f>IF($J$12="m",'DATOS DE ENTRADA'!J110,'DATOS DE ENTRADA'!H110)</f>
        <v>80</v>
      </c>
      <c r="C57" s="273">
        <f t="shared" si="12"/>
        <v>80</v>
      </c>
      <c r="D57" s="341">
        <f t="shared" si="13"/>
        <v>0.875</v>
      </c>
      <c r="E57" s="274">
        <f t="shared" si="10"/>
        <v>60.210594416562103</v>
      </c>
      <c r="F57" s="274">
        <f t="shared" si="11"/>
        <v>9.0315891624843143</v>
      </c>
      <c r="G57" s="341">
        <f t="shared" si="14"/>
        <v>69.242183579046412</v>
      </c>
      <c r="H57" s="351"/>
      <c r="I57" s="346"/>
      <c r="J57" s="346"/>
      <c r="K57" s="346"/>
      <c r="L57" s="346"/>
      <c r="M57" s="346"/>
      <c r="N57" s="346"/>
    </row>
    <row r="58" spans="1:15" x14ac:dyDescent="0.25">
      <c r="A58" s="271">
        <v>3</v>
      </c>
      <c r="B58" s="272">
        <f>IF($J$12="m",'DATOS DE ENTRADA'!J111,'DATOS DE ENTRADA'!H111)</f>
        <v>80</v>
      </c>
      <c r="C58" s="273">
        <f t="shared" si="12"/>
        <v>80</v>
      </c>
      <c r="D58" s="341">
        <f t="shared" si="13"/>
        <v>0.875</v>
      </c>
      <c r="E58" s="274">
        <f t="shared" si="10"/>
        <v>60.210594416562103</v>
      </c>
      <c r="F58" s="274">
        <f t="shared" si="11"/>
        <v>9.0315891624843143</v>
      </c>
      <c r="G58" s="341">
        <f t="shared" si="14"/>
        <v>69.242183579046412</v>
      </c>
      <c r="H58" s="351"/>
      <c r="I58" s="346"/>
      <c r="J58" s="346"/>
      <c r="K58" s="346"/>
      <c r="L58" s="346"/>
      <c r="M58" s="346"/>
      <c r="N58" s="346"/>
    </row>
    <row r="59" spans="1:15" x14ac:dyDescent="0.25">
      <c r="A59" s="271">
        <v>4</v>
      </c>
      <c r="B59" s="272">
        <f>IF($J$12="m",'DATOS DE ENTRADA'!J112,'DATOS DE ENTRADA'!H112)</f>
        <v>80</v>
      </c>
      <c r="C59" s="273">
        <f t="shared" si="12"/>
        <v>80</v>
      </c>
      <c r="D59" s="341">
        <f t="shared" si="13"/>
        <v>0.875</v>
      </c>
      <c r="E59" s="274">
        <f t="shared" si="10"/>
        <v>60.210594416562103</v>
      </c>
      <c r="F59" s="274">
        <f t="shared" si="11"/>
        <v>9.0315891624843143</v>
      </c>
      <c r="G59" s="341">
        <f t="shared" si="14"/>
        <v>69.242183579046412</v>
      </c>
      <c r="H59" s="351"/>
      <c r="I59" s="346"/>
      <c r="J59" s="346"/>
      <c r="K59" s="346"/>
      <c r="L59" s="346"/>
      <c r="M59" s="346"/>
      <c r="N59" s="346"/>
    </row>
    <row r="60" spans="1:15" x14ac:dyDescent="0.25">
      <c r="A60" s="271">
        <v>5</v>
      </c>
      <c r="B60" s="272">
        <f>IF($J$12="m",'DATOS DE ENTRADA'!J113,'DATOS DE ENTRADA'!H113)</f>
        <v>80</v>
      </c>
      <c r="C60" s="273">
        <f t="shared" si="12"/>
        <v>80</v>
      </c>
      <c r="D60" s="341">
        <f t="shared" si="13"/>
        <v>0.875</v>
      </c>
      <c r="E60" s="274">
        <f t="shared" si="10"/>
        <v>60.210594416562103</v>
      </c>
      <c r="F60" s="274">
        <f t="shared" si="11"/>
        <v>9.0315891624843143</v>
      </c>
      <c r="G60" s="341">
        <f t="shared" si="14"/>
        <v>69.242183579046412</v>
      </c>
      <c r="H60" s="351"/>
      <c r="I60" s="346"/>
      <c r="J60" s="346"/>
      <c r="K60" s="346"/>
      <c r="L60" s="346"/>
      <c r="M60" s="346"/>
      <c r="N60" s="346"/>
    </row>
    <row r="61" spans="1:15" x14ac:dyDescent="0.25">
      <c r="A61" s="271">
        <v>6</v>
      </c>
      <c r="B61" s="272">
        <f>IF($J$12="m",'DATOS DE ENTRADA'!J114,'DATOS DE ENTRADA'!H114)</f>
        <v>80</v>
      </c>
      <c r="C61" s="273">
        <f t="shared" si="12"/>
        <v>80</v>
      </c>
      <c r="D61" s="341">
        <f t="shared" si="13"/>
        <v>0.875</v>
      </c>
      <c r="E61" s="274">
        <f t="shared" si="10"/>
        <v>60.210594416562103</v>
      </c>
      <c r="F61" s="274">
        <f t="shared" si="11"/>
        <v>9.0315891624843143</v>
      </c>
      <c r="G61" s="341">
        <f t="shared" si="14"/>
        <v>69.242183579046412</v>
      </c>
      <c r="H61" s="351"/>
      <c r="I61" s="346"/>
      <c r="J61" s="346"/>
      <c r="K61" s="346"/>
      <c r="L61" s="346"/>
      <c r="M61" s="346"/>
      <c r="N61" s="346"/>
    </row>
    <row r="62" spans="1:15" x14ac:dyDescent="0.25">
      <c r="A62" s="271">
        <v>7</v>
      </c>
      <c r="B62" s="272">
        <f>IF($J$12="m",'DATOS DE ENTRADA'!J115,'DATOS DE ENTRADA'!H115)</f>
        <v>80</v>
      </c>
      <c r="C62" s="273">
        <f t="shared" si="12"/>
        <v>80</v>
      </c>
      <c r="D62" s="341">
        <f t="shared" si="13"/>
        <v>0.875</v>
      </c>
      <c r="E62" s="274">
        <f t="shared" si="10"/>
        <v>60.210594416562103</v>
      </c>
      <c r="F62" s="274">
        <f t="shared" si="11"/>
        <v>9.0315891624843143</v>
      </c>
      <c r="G62" s="341">
        <f t="shared" si="14"/>
        <v>69.242183579046412</v>
      </c>
      <c r="H62" s="351"/>
      <c r="I62" s="346"/>
      <c r="J62" s="346"/>
      <c r="K62" s="346"/>
      <c r="L62" s="346"/>
      <c r="M62" s="346"/>
      <c r="N62" s="346"/>
    </row>
    <row r="63" spans="1:15" x14ac:dyDescent="0.25">
      <c r="A63" s="271">
        <v>8</v>
      </c>
      <c r="B63" s="272">
        <f>IF($J$12="m",'DATOS DE ENTRADA'!J116,'DATOS DE ENTRADA'!H116)</f>
        <v>80</v>
      </c>
      <c r="C63" s="273">
        <f t="shared" si="12"/>
        <v>80</v>
      </c>
      <c r="D63" s="341">
        <f t="shared" si="13"/>
        <v>0.875</v>
      </c>
      <c r="E63" s="274">
        <f t="shared" si="10"/>
        <v>60.210594416562103</v>
      </c>
      <c r="F63" s="274">
        <f t="shared" si="11"/>
        <v>9.0315891624843143</v>
      </c>
      <c r="G63" s="341">
        <f t="shared" si="14"/>
        <v>69.242183579046412</v>
      </c>
      <c r="H63" s="351"/>
      <c r="I63" s="346"/>
      <c r="J63" s="346"/>
      <c r="K63" s="346"/>
      <c r="L63" s="346"/>
      <c r="M63" s="346"/>
      <c r="N63" s="346"/>
    </row>
    <row r="64" spans="1:15" x14ac:dyDescent="0.25">
      <c r="A64" s="271">
        <v>9</v>
      </c>
      <c r="B64" s="272">
        <f>IF($J$12="m",'DATOS DE ENTRADA'!J117,'DATOS DE ENTRADA'!H117)</f>
        <v>80</v>
      </c>
      <c r="C64" s="273">
        <f t="shared" si="12"/>
        <v>80</v>
      </c>
      <c r="D64" s="341">
        <f t="shared" si="13"/>
        <v>0.875</v>
      </c>
      <c r="E64" s="274">
        <f t="shared" si="10"/>
        <v>60.210594416562103</v>
      </c>
      <c r="F64" s="274">
        <f t="shared" si="11"/>
        <v>9.0315891624843143</v>
      </c>
      <c r="G64" s="341">
        <f t="shared" si="14"/>
        <v>69.242183579046412</v>
      </c>
      <c r="H64" s="351"/>
      <c r="I64" s="346"/>
      <c r="J64" s="346"/>
      <c r="K64" s="346"/>
      <c r="L64" s="346"/>
      <c r="M64" s="346"/>
      <c r="N64" s="346"/>
    </row>
    <row r="65" spans="1:14" x14ac:dyDescent="0.25">
      <c r="A65" s="271">
        <v>10</v>
      </c>
      <c r="B65" s="272">
        <f>IF($J$12="m",'DATOS DE ENTRADA'!J118,'DATOS DE ENTRADA'!H118)</f>
        <v>80</v>
      </c>
      <c r="C65" s="273">
        <f t="shared" si="12"/>
        <v>80</v>
      </c>
      <c r="D65" s="341">
        <f t="shared" si="13"/>
        <v>0.875</v>
      </c>
      <c r="E65" s="274">
        <f t="shared" si="10"/>
        <v>60.210594416562103</v>
      </c>
      <c r="F65" s="274">
        <f t="shared" si="11"/>
        <v>9.0315891624843143</v>
      </c>
      <c r="G65" s="341">
        <f t="shared" si="14"/>
        <v>69.242183579046412</v>
      </c>
      <c r="H65" s="351"/>
      <c r="I65" s="346"/>
      <c r="J65" s="346"/>
      <c r="K65" s="346"/>
      <c r="L65" s="346"/>
      <c r="M65" s="346"/>
      <c r="N65" s="346"/>
    </row>
    <row r="66" spans="1:14" x14ac:dyDescent="0.25">
      <c r="A66" s="271">
        <v>11</v>
      </c>
      <c r="B66" s="272">
        <f>IF($J$12="m",'DATOS DE ENTRADA'!J119,'DATOS DE ENTRADA'!H119)</f>
        <v>80</v>
      </c>
      <c r="C66" s="273">
        <f t="shared" si="12"/>
        <v>80</v>
      </c>
      <c r="D66" s="341">
        <f t="shared" si="13"/>
        <v>0.875</v>
      </c>
      <c r="E66" s="274">
        <f t="shared" si="10"/>
        <v>60.210594416562103</v>
      </c>
      <c r="F66" s="274">
        <f t="shared" si="11"/>
        <v>9.0315891624843143</v>
      </c>
      <c r="G66" s="341">
        <f t="shared" si="14"/>
        <v>69.242183579046412</v>
      </c>
      <c r="H66" s="351"/>
      <c r="I66" s="346"/>
      <c r="J66" s="346"/>
      <c r="K66" s="346"/>
      <c r="L66" s="346"/>
      <c r="M66" s="346"/>
      <c r="N66" s="346"/>
    </row>
    <row r="67" spans="1:14" x14ac:dyDescent="0.25">
      <c r="A67" s="271">
        <v>12</v>
      </c>
      <c r="B67" s="272">
        <f>IF($J$12="m",'DATOS DE ENTRADA'!J120,'DATOS DE ENTRADA'!H120)</f>
        <v>72</v>
      </c>
      <c r="C67" s="273">
        <f t="shared" si="12"/>
        <v>72</v>
      </c>
      <c r="D67" s="341">
        <f t="shared" si="13"/>
        <v>0.97222222222222221</v>
      </c>
      <c r="E67" s="274">
        <f t="shared" si="10"/>
        <v>66.900660462846773</v>
      </c>
      <c r="F67" s="274">
        <f t="shared" si="11"/>
        <v>10.035099069427016</v>
      </c>
      <c r="G67" s="341">
        <f t="shared" si="14"/>
        <v>76.935759532273792</v>
      </c>
      <c r="H67" s="351"/>
      <c r="I67" s="346"/>
      <c r="J67" s="346"/>
      <c r="K67" s="346"/>
      <c r="L67" s="346"/>
      <c r="M67" s="346"/>
      <c r="N67" s="346"/>
    </row>
    <row r="68" spans="1:14" x14ac:dyDescent="0.25">
      <c r="A68" s="271">
        <v>13</v>
      </c>
      <c r="B68" s="272">
        <f>IF($J$12="m",'DATOS DE ENTRADA'!J121,'DATOS DE ENTRADA'!H121)</f>
        <v>72</v>
      </c>
      <c r="C68" s="273">
        <f t="shared" si="12"/>
        <v>72</v>
      </c>
      <c r="D68" s="341">
        <f t="shared" si="13"/>
        <v>0.97222222222222221</v>
      </c>
      <c r="E68" s="274">
        <f t="shared" si="10"/>
        <v>66.900660462846773</v>
      </c>
      <c r="F68" s="274">
        <f t="shared" si="11"/>
        <v>10.035099069427016</v>
      </c>
      <c r="G68" s="341">
        <f t="shared" si="14"/>
        <v>76.935759532273792</v>
      </c>
      <c r="H68" s="351"/>
      <c r="I68" s="346"/>
      <c r="J68" s="346"/>
      <c r="K68" s="346"/>
      <c r="L68" s="346"/>
      <c r="M68" s="346"/>
      <c r="N68" s="346"/>
    </row>
    <row r="69" spans="1:14" x14ac:dyDescent="0.25">
      <c r="A69" s="271">
        <v>14</v>
      </c>
      <c r="B69" s="272">
        <f>IF($J$12="m",'DATOS DE ENTRADA'!J122,'DATOS DE ENTRADA'!H122)</f>
        <v>72</v>
      </c>
      <c r="C69" s="273">
        <f t="shared" si="12"/>
        <v>72</v>
      </c>
      <c r="D69" s="341">
        <f t="shared" si="13"/>
        <v>0.97222222222222221</v>
      </c>
      <c r="E69" s="274">
        <f t="shared" si="10"/>
        <v>66.900660462846773</v>
      </c>
      <c r="F69" s="274">
        <f t="shared" si="11"/>
        <v>10.035099069427016</v>
      </c>
      <c r="G69" s="341">
        <f t="shared" si="14"/>
        <v>76.935759532273792</v>
      </c>
      <c r="H69" s="351"/>
      <c r="I69" s="346"/>
      <c r="J69" s="346"/>
      <c r="K69" s="346"/>
      <c r="L69" s="346"/>
      <c r="M69" s="346"/>
      <c r="N69" s="346"/>
    </row>
    <row r="70" spans="1:14" x14ac:dyDescent="0.25">
      <c r="A70" s="271">
        <v>15</v>
      </c>
      <c r="B70" s="272">
        <f>IF($J$12="m",'DATOS DE ENTRADA'!J123,'DATOS DE ENTRADA'!H123)</f>
        <v>72</v>
      </c>
      <c r="C70" s="273">
        <f t="shared" si="12"/>
        <v>72</v>
      </c>
      <c r="D70" s="341">
        <f t="shared" si="13"/>
        <v>0.97222222222222221</v>
      </c>
      <c r="E70" s="274">
        <f t="shared" si="10"/>
        <v>66.900660462846773</v>
      </c>
      <c r="F70" s="274">
        <f t="shared" si="11"/>
        <v>10.035099069427016</v>
      </c>
      <c r="G70" s="341">
        <f t="shared" si="14"/>
        <v>76.935759532273792</v>
      </c>
      <c r="H70" s="351"/>
      <c r="I70" s="346"/>
      <c r="J70" s="346"/>
      <c r="K70" s="346"/>
      <c r="L70" s="346"/>
      <c r="M70" s="346"/>
      <c r="N70" s="346"/>
    </row>
    <row r="71" spans="1:14" x14ac:dyDescent="0.25">
      <c r="A71" s="271">
        <v>16</v>
      </c>
      <c r="B71" s="272">
        <f>IF($J$12="m",'DATOS DE ENTRADA'!J124,'DATOS DE ENTRADA'!H124)</f>
        <v>72</v>
      </c>
      <c r="C71" s="273">
        <f t="shared" si="12"/>
        <v>72</v>
      </c>
      <c r="D71" s="341">
        <f t="shared" si="13"/>
        <v>0.97222222222222221</v>
      </c>
      <c r="E71" s="274">
        <f t="shared" si="10"/>
        <v>66.900660462846773</v>
      </c>
      <c r="F71" s="274">
        <f t="shared" si="11"/>
        <v>10.035099069427016</v>
      </c>
      <c r="G71" s="341">
        <f t="shared" si="14"/>
        <v>76.935759532273792</v>
      </c>
      <c r="H71" s="351"/>
      <c r="I71" s="346"/>
      <c r="J71" s="346"/>
      <c r="K71" s="346"/>
      <c r="L71" s="346"/>
      <c r="M71" s="346"/>
      <c r="N71" s="346"/>
    </row>
    <row r="72" spans="1:14" x14ac:dyDescent="0.25">
      <c r="A72" s="271">
        <v>17</v>
      </c>
      <c r="B72" s="272">
        <f>IF($J$12="m",'DATOS DE ENTRADA'!J125,'DATOS DE ENTRADA'!H125)</f>
        <v>72</v>
      </c>
      <c r="C72" s="273">
        <f t="shared" si="12"/>
        <v>72</v>
      </c>
      <c r="D72" s="341">
        <f t="shared" si="13"/>
        <v>0.97222222222222221</v>
      </c>
      <c r="E72" s="274">
        <f t="shared" si="10"/>
        <v>66.900660462846773</v>
      </c>
      <c r="F72" s="274">
        <f t="shared" si="11"/>
        <v>10.035099069427016</v>
      </c>
      <c r="G72" s="341">
        <f t="shared" si="14"/>
        <v>76.935759532273792</v>
      </c>
      <c r="H72" s="351"/>
      <c r="I72" s="346"/>
      <c r="J72" s="346"/>
      <c r="K72" s="346"/>
      <c r="L72" s="346"/>
      <c r="M72" s="346"/>
      <c r="N72" s="346"/>
    </row>
    <row r="73" spans="1:14" x14ac:dyDescent="0.25">
      <c r="A73" s="271">
        <v>18</v>
      </c>
      <c r="B73" s="272">
        <f>IF($J$12="m",'DATOS DE ENTRADA'!J126,'DATOS DE ENTRADA'!H126)</f>
        <v>72</v>
      </c>
      <c r="C73" s="273">
        <f t="shared" si="12"/>
        <v>72</v>
      </c>
      <c r="D73" s="341">
        <f t="shared" si="13"/>
        <v>0.97222222222222221</v>
      </c>
      <c r="E73" s="274">
        <f t="shared" si="10"/>
        <v>66.900660462846773</v>
      </c>
      <c r="F73" s="274">
        <f t="shared" si="11"/>
        <v>10.035099069427016</v>
      </c>
      <c r="G73" s="341">
        <f t="shared" si="14"/>
        <v>76.935759532273792</v>
      </c>
      <c r="H73" s="351"/>
      <c r="I73" s="346"/>
      <c r="J73" s="346"/>
      <c r="K73" s="346"/>
      <c r="L73" s="346"/>
      <c r="M73" s="346"/>
      <c r="N73" s="346"/>
    </row>
    <row r="74" spans="1:14" x14ac:dyDescent="0.25">
      <c r="A74" s="271">
        <v>19</v>
      </c>
      <c r="B74" s="272">
        <f>IF($J$12="m",'DATOS DE ENTRADA'!J127,'DATOS DE ENTRADA'!H127)</f>
        <v>72</v>
      </c>
      <c r="C74" s="273">
        <f t="shared" si="12"/>
        <v>72</v>
      </c>
      <c r="D74" s="341">
        <f t="shared" si="13"/>
        <v>0.97222222222222221</v>
      </c>
      <c r="E74" s="274">
        <f t="shared" si="10"/>
        <v>66.900660462846773</v>
      </c>
      <c r="F74" s="274">
        <f t="shared" si="11"/>
        <v>10.035099069427016</v>
      </c>
      <c r="G74" s="341">
        <f t="shared" si="14"/>
        <v>76.935759532273792</v>
      </c>
      <c r="H74" s="351"/>
      <c r="I74" s="346"/>
      <c r="J74" s="346"/>
      <c r="K74" s="346"/>
      <c r="L74" s="346"/>
      <c r="M74" s="346"/>
      <c r="N74" s="346"/>
    </row>
    <row r="75" spans="1:14" x14ac:dyDescent="0.25">
      <c r="A75" s="271">
        <v>20</v>
      </c>
      <c r="B75" s="272">
        <f>IF($J$12="m",'DATOS DE ENTRADA'!J128,'DATOS DE ENTRADA'!H128)</f>
        <v>72</v>
      </c>
      <c r="C75" s="273">
        <f t="shared" si="12"/>
        <v>72</v>
      </c>
      <c r="D75" s="341">
        <f t="shared" si="13"/>
        <v>0.97222222222222221</v>
      </c>
      <c r="E75" s="274">
        <f t="shared" si="10"/>
        <v>66.900660462846773</v>
      </c>
      <c r="F75" s="274">
        <f t="shared" si="11"/>
        <v>10.035099069427016</v>
      </c>
      <c r="G75" s="341">
        <f t="shared" si="14"/>
        <v>76.935759532273792</v>
      </c>
      <c r="H75" s="351"/>
      <c r="I75" s="346"/>
      <c r="J75" s="346"/>
      <c r="K75" s="346"/>
      <c r="L75" s="346"/>
      <c r="M75" s="346"/>
      <c r="N75" s="346"/>
    </row>
    <row r="76" spans="1:14" x14ac:dyDescent="0.25">
      <c r="A76" s="271">
        <v>21</v>
      </c>
      <c r="B76" s="272">
        <f>IF($J$12="m",'DATOS DE ENTRADA'!J129,'DATOS DE ENTRADA'!H129)</f>
        <v>72</v>
      </c>
      <c r="C76" s="273">
        <f t="shared" si="12"/>
        <v>72</v>
      </c>
      <c r="D76" s="341">
        <f t="shared" si="13"/>
        <v>0.97222222222222221</v>
      </c>
      <c r="E76" s="274">
        <f t="shared" si="10"/>
        <v>66.900660462846773</v>
      </c>
      <c r="F76" s="274">
        <f t="shared" si="11"/>
        <v>10.035099069427016</v>
      </c>
      <c r="G76" s="341">
        <f t="shared" si="14"/>
        <v>76.935759532273792</v>
      </c>
      <c r="H76" s="351"/>
      <c r="I76" s="346"/>
      <c r="J76" s="346"/>
      <c r="K76" s="346"/>
      <c r="L76" s="346"/>
      <c r="M76" s="346"/>
      <c r="N76" s="346"/>
    </row>
    <row r="77" spans="1:14" x14ac:dyDescent="0.25">
      <c r="A77" s="271">
        <v>22</v>
      </c>
      <c r="B77" s="272">
        <f>IF($J$12="m",'DATOS DE ENTRADA'!J130,'DATOS DE ENTRADA'!H130)</f>
        <v>72</v>
      </c>
      <c r="C77" s="273">
        <f t="shared" si="12"/>
        <v>72</v>
      </c>
      <c r="D77" s="341">
        <f t="shared" si="13"/>
        <v>0.97222222222222221</v>
      </c>
      <c r="E77" s="274">
        <f t="shared" si="10"/>
        <v>66.900660462846773</v>
      </c>
      <c r="F77" s="274">
        <f t="shared" si="11"/>
        <v>10.035099069427016</v>
      </c>
      <c r="G77" s="341">
        <f t="shared" si="14"/>
        <v>76.935759532273792</v>
      </c>
      <c r="H77" s="351"/>
      <c r="I77" s="346"/>
      <c r="J77" s="346"/>
      <c r="K77" s="346"/>
      <c r="L77" s="346"/>
      <c r="M77" s="346"/>
      <c r="N77" s="346"/>
    </row>
    <row r="78" spans="1:14" x14ac:dyDescent="0.25">
      <c r="A78" s="271">
        <v>23</v>
      </c>
      <c r="B78" s="272">
        <f>IF($J$12="m",'DATOS DE ENTRADA'!J131,'DATOS DE ENTRADA'!H131)</f>
        <v>72</v>
      </c>
      <c r="C78" s="273">
        <f t="shared" si="12"/>
        <v>72</v>
      </c>
      <c r="D78" s="341">
        <f t="shared" si="13"/>
        <v>0.97222222222222221</v>
      </c>
      <c r="E78" s="274">
        <f t="shared" si="10"/>
        <v>66.900660462846773</v>
      </c>
      <c r="F78" s="274">
        <f t="shared" si="11"/>
        <v>10.035099069427016</v>
      </c>
      <c r="G78" s="341">
        <f t="shared" si="14"/>
        <v>76.935759532273792</v>
      </c>
      <c r="H78" s="351"/>
      <c r="I78" s="346"/>
      <c r="J78" s="346"/>
      <c r="K78" s="346"/>
      <c r="L78" s="346"/>
      <c r="M78" s="346"/>
      <c r="N78" s="346"/>
    </row>
    <row r="79" spans="1:14" x14ac:dyDescent="0.25">
      <c r="A79" s="271">
        <v>24</v>
      </c>
      <c r="B79" s="272">
        <f>IF($J$12="m",'DATOS DE ENTRADA'!J132,'DATOS DE ENTRADA'!H132)</f>
        <v>72</v>
      </c>
      <c r="C79" s="273">
        <f t="shared" si="12"/>
        <v>72</v>
      </c>
      <c r="D79" s="341">
        <f t="shared" si="13"/>
        <v>0.97222222222222221</v>
      </c>
      <c r="E79" s="274">
        <f t="shared" si="10"/>
        <v>66.900660462846773</v>
      </c>
      <c r="F79" s="274">
        <f t="shared" si="11"/>
        <v>10.035099069427016</v>
      </c>
      <c r="G79" s="341">
        <f t="shared" si="14"/>
        <v>76.935759532273792</v>
      </c>
      <c r="H79" s="351"/>
      <c r="I79" s="346"/>
      <c r="J79" s="346"/>
      <c r="K79" s="346"/>
      <c r="L79" s="346"/>
      <c r="M79" s="346"/>
      <c r="N79" s="346"/>
    </row>
    <row r="80" spans="1:14" x14ac:dyDescent="0.25">
      <c r="A80" s="271">
        <v>25</v>
      </c>
      <c r="B80" s="272">
        <f>IF($J$12="m",'DATOS DE ENTRADA'!J133,'DATOS DE ENTRADA'!H133)</f>
        <v>72</v>
      </c>
      <c r="C80" s="273">
        <f t="shared" si="12"/>
        <v>72</v>
      </c>
      <c r="D80" s="341">
        <f t="shared" si="13"/>
        <v>0.97222222222222221</v>
      </c>
      <c r="E80" s="274">
        <f t="shared" si="10"/>
        <v>66.900660462846773</v>
      </c>
      <c r="F80" s="274">
        <f t="shared" si="11"/>
        <v>10.035099069427016</v>
      </c>
      <c r="G80" s="341">
        <f t="shared" si="14"/>
        <v>76.935759532273792</v>
      </c>
      <c r="H80" s="351"/>
      <c r="I80" s="346"/>
      <c r="J80" s="346"/>
      <c r="K80" s="346"/>
      <c r="L80" s="346"/>
      <c r="M80" s="346"/>
      <c r="N80" s="346"/>
    </row>
    <row r="81" spans="1:16" x14ac:dyDescent="0.25">
      <c r="A81" s="271">
        <v>26</v>
      </c>
      <c r="B81" s="272">
        <f>IF($J$12="m",'DATOS DE ENTRADA'!J134,'DATOS DE ENTRADA'!H134)</f>
        <v>72</v>
      </c>
      <c r="C81" s="273">
        <f t="shared" si="12"/>
        <v>72</v>
      </c>
      <c r="D81" s="341">
        <f t="shared" si="13"/>
        <v>0.97222222222222221</v>
      </c>
      <c r="E81" s="274">
        <f t="shared" si="10"/>
        <v>66.900660462846773</v>
      </c>
      <c r="F81" s="274">
        <f t="shared" si="11"/>
        <v>10.035099069427016</v>
      </c>
      <c r="G81" s="341">
        <f t="shared" si="14"/>
        <v>76.935759532273792</v>
      </c>
      <c r="H81" s="351"/>
      <c r="I81" s="346"/>
      <c r="J81" s="346"/>
      <c r="K81" s="346"/>
      <c r="L81" s="346"/>
      <c r="M81" s="346"/>
      <c r="N81" s="346"/>
    </row>
    <row r="82" spans="1:16" x14ac:dyDescent="0.25">
      <c r="A82" s="271">
        <v>27</v>
      </c>
      <c r="B82" s="272">
        <f>IF($J$12="m",'DATOS DE ENTRADA'!J135,'DATOS DE ENTRADA'!H135)</f>
        <v>72</v>
      </c>
      <c r="C82" s="273">
        <f t="shared" si="12"/>
        <v>72</v>
      </c>
      <c r="D82" s="341">
        <f t="shared" si="13"/>
        <v>0.97222222222222221</v>
      </c>
      <c r="E82" s="274">
        <f t="shared" si="10"/>
        <v>66.900660462846773</v>
      </c>
      <c r="F82" s="274">
        <f t="shared" si="11"/>
        <v>10.035099069427016</v>
      </c>
      <c r="G82" s="341">
        <f t="shared" si="14"/>
        <v>76.935759532273792</v>
      </c>
      <c r="H82" s="351"/>
      <c r="I82" s="346"/>
      <c r="J82" s="346"/>
      <c r="K82" s="346"/>
      <c r="L82" s="346"/>
      <c r="M82" s="346"/>
      <c r="N82" s="346"/>
    </row>
    <row r="83" spans="1:16" x14ac:dyDescent="0.25">
      <c r="A83" s="271">
        <v>28</v>
      </c>
      <c r="B83" s="272">
        <f>IF($J$12="m",'DATOS DE ENTRADA'!J136,'DATOS DE ENTRADA'!H136)</f>
        <v>72</v>
      </c>
      <c r="C83" s="273">
        <f t="shared" si="12"/>
        <v>72</v>
      </c>
      <c r="D83" s="341">
        <f t="shared" si="13"/>
        <v>0.97222222222222221</v>
      </c>
      <c r="E83" s="274">
        <f t="shared" si="10"/>
        <v>66.900660462846773</v>
      </c>
      <c r="F83" s="274">
        <f t="shared" si="11"/>
        <v>10.035099069427016</v>
      </c>
      <c r="G83" s="341">
        <f t="shared" si="14"/>
        <v>76.935759532273792</v>
      </c>
      <c r="H83" s="113"/>
      <c r="I83" s="346"/>
      <c r="J83" s="346"/>
      <c r="K83" s="346"/>
      <c r="L83" s="350"/>
      <c r="M83" s="350"/>
      <c r="N83" s="350"/>
    </row>
    <row r="84" spans="1:16" x14ac:dyDescent="0.25">
      <c r="A84" s="271">
        <v>29</v>
      </c>
      <c r="B84" s="272">
        <f>IF($J$12="m",'DATOS DE ENTRADA'!J137,'DATOS DE ENTRADA'!H137)</f>
        <v>72</v>
      </c>
      <c r="C84" s="273">
        <f t="shared" si="12"/>
        <v>72</v>
      </c>
      <c r="D84" s="341">
        <f t="shared" si="13"/>
        <v>0.97222222222222221</v>
      </c>
      <c r="E84" s="274">
        <f t="shared" si="10"/>
        <v>66.900660462846773</v>
      </c>
      <c r="F84" s="274">
        <f t="shared" si="11"/>
        <v>10.035099069427016</v>
      </c>
      <c r="G84" s="341">
        <f t="shared" si="14"/>
        <v>76.935759532273792</v>
      </c>
      <c r="H84" s="47"/>
      <c r="I84" s="47"/>
      <c r="J84" s="47"/>
      <c r="K84" s="47"/>
      <c r="L84" s="47"/>
      <c r="M84" s="47"/>
      <c r="N84" s="47"/>
    </row>
    <row r="85" spans="1:16" x14ac:dyDescent="0.25">
      <c r="A85" s="271">
        <v>30</v>
      </c>
      <c r="B85" s="272">
        <f>IF($J$12="m",'DATOS DE ENTRADA'!J138,'DATOS DE ENTRADA'!H138)</f>
        <v>72</v>
      </c>
      <c r="C85" s="273">
        <f t="shared" si="12"/>
        <v>72</v>
      </c>
      <c r="D85" s="341">
        <f t="shared" si="13"/>
        <v>0.97222222222222221</v>
      </c>
      <c r="E85" s="274">
        <f t="shared" si="10"/>
        <v>66.900660462846773</v>
      </c>
      <c r="F85" s="274">
        <f t="shared" si="11"/>
        <v>10.035099069427016</v>
      </c>
      <c r="G85" s="341">
        <f t="shared" si="14"/>
        <v>76.935759532273792</v>
      </c>
      <c r="H85" s="47"/>
      <c r="I85" s="47"/>
      <c r="J85" s="47"/>
      <c r="K85" s="47"/>
      <c r="L85" s="47"/>
      <c r="M85" s="47"/>
      <c r="N85" s="47"/>
    </row>
    <row r="86" spans="1:16" x14ac:dyDescent="0.25">
      <c r="A86" s="271">
        <v>31</v>
      </c>
      <c r="B86" s="272">
        <f>IF($J$12="m",'DATOS DE ENTRADA'!J139,'DATOS DE ENTRADA'!H139)</f>
        <v>72</v>
      </c>
      <c r="C86" s="273">
        <f>IF(B86&lt;=60,60,B86)</f>
        <v>72</v>
      </c>
      <c r="D86" s="341">
        <f>$B$53/C86</f>
        <v>0.97222222222222221</v>
      </c>
      <c r="E86" s="274">
        <f>(D86*$F$2*$J$2*$J$5)</f>
        <v>66.900660462846773</v>
      </c>
      <c r="F86" s="274">
        <f>(D86*$F$4*$J$3*$J$5)</f>
        <v>10.035099069427016</v>
      </c>
      <c r="G86" s="341">
        <f>E86+F86</f>
        <v>76.935759532273792</v>
      </c>
      <c r="H86" s="425"/>
      <c r="I86" s="564"/>
      <c r="J86" s="564"/>
      <c r="K86" s="564"/>
      <c r="L86" s="564"/>
      <c r="M86" s="564"/>
      <c r="N86" s="564"/>
    </row>
    <row r="87" spans="1:16" x14ac:dyDescent="0.25">
      <c r="A87" s="271">
        <v>32</v>
      </c>
      <c r="B87" s="272">
        <f>IF($J$12="m",'DATOS DE ENTRADA'!J140,'DATOS DE ENTRADA'!H140)</f>
        <v>72</v>
      </c>
      <c r="C87" s="273">
        <f>IF(B87&lt;=60,60,B87)</f>
        <v>72</v>
      </c>
      <c r="D87" s="341">
        <f>$B$53/C87</f>
        <v>0.97222222222222221</v>
      </c>
      <c r="E87" s="274">
        <f>(D87*$F$2*$J$2*$J$5)</f>
        <v>66.900660462846773</v>
      </c>
      <c r="F87" s="274">
        <f>(D87*$F$4*$J$3*$J$5)</f>
        <v>10.035099069427016</v>
      </c>
      <c r="G87" s="341">
        <f>E87+F87</f>
        <v>76.935759532273792</v>
      </c>
      <c r="H87" s="520"/>
      <c r="I87" s="519"/>
      <c r="J87" s="519"/>
      <c r="K87" s="519"/>
      <c r="L87" s="519"/>
      <c r="M87" s="519"/>
      <c r="N87" s="519"/>
    </row>
    <row r="88" spans="1:16" x14ac:dyDescent="0.25">
      <c r="A88" s="340"/>
      <c r="B88" s="45"/>
      <c r="C88" s="519"/>
      <c r="D88" s="519"/>
      <c r="E88" s="519"/>
      <c r="F88" s="519"/>
      <c r="G88" s="520"/>
      <c r="H88" s="520"/>
      <c r="I88" s="519"/>
      <c r="J88" s="519"/>
      <c r="K88" s="519"/>
      <c r="L88" s="519"/>
      <c r="M88" s="519"/>
      <c r="N88" s="519"/>
    </row>
    <row r="89" spans="1:16" x14ac:dyDescent="0.25">
      <c r="A89" s="353" t="s">
        <v>338</v>
      </c>
      <c r="B89" s="121"/>
      <c r="C89" s="290"/>
      <c r="D89" s="290"/>
      <c r="E89" s="290"/>
      <c r="F89" s="290"/>
      <c r="G89" s="290"/>
      <c r="H89" s="290"/>
      <c r="I89" s="290"/>
      <c r="J89" s="290"/>
      <c r="K89" s="290"/>
      <c r="L89" s="289"/>
      <c r="M89" s="289"/>
      <c r="N89" s="289"/>
    </row>
    <row r="90" spans="1:16" x14ac:dyDescent="0.25">
      <c r="B90" s="349"/>
      <c r="C90" s="345"/>
      <c r="D90" s="345"/>
      <c r="E90" s="345"/>
      <c r="F90" s="113"/>
      <c r="G90" s="113"/>
      <c r="H90" s="113"/>
      <c r="I90" s="346"/>
      <c r="J90" s="346"/>
      <c r="K90" s="346"/>
      <c r="L90" s="350"/>
      <c r="M90" s="350"/>
      <c r="N90" s="350"/>
    </row>
    <row r="91" spans="1:16" ht="43.5" customHeight="1" x14ac:dyDescent="0.25">
      <c r="A91" s="35" t="s">
        <v>18</v>
      </c>
      <c r="B91" s="547" t="s">
        <v>339</v>
      </c>
      <c r="C91" s="273" t="s">
        <v>14</v>
      </c>
      <c r="D91" s="273" t="s">
        <v>340</v>
      </c>
      <c r="E91" s="345"/>
      <c r="F91" s="35" t="s">
        <v>18</v>
      </c>
      <c r="G91" s="356" t="s">
        <v>341</v>
      </c>
      <c r="H91" s="273" t="s">
        <v>14</v>
      </c>
      <c r="I91" s="273" t="s">
        <v>340</v>
      </c>
      <c r="J91" s="346"/>
      <c r="K91" s="35" t="s">
        <v>18</v>
      </c>
      <c r="L91" s="547" t="s">
        <v>342</v>
      </c>
      <c r="M91" s="273" t="s">
        <v>14</v>
      </c>
      <c r="N91" s="273" t="s">
        <v>340</v>
      </c>
      <c r="O91" s="576" t="s">
        <v>533</v>
      </c>
      <c r="P91" s="576"/>
    </row>
    <row r="92" spans="1:16" x14ac:dyDescent="0.25">
      <c r="A92" s="271">
        <v>0</v>
      </c>
      <c r="B92" s="354">
        <f>G18</f>
        <v>66.739454052092938</v>
      </c>
      <c r="C92" s="273">
        <f>'N CARRILES HCM'!C3</f>
        <v>3595.5</v>
      </c>
      <c r="D92" s="273">
        <f>B92*C92*365</f>
        <v>87586023.071169555</v>
      </c>
      <c r="E92" s="345"/>
      <c r="F92" s="271">
        <v>0</v>
      </c>
      <c r="G92" s="354">
        <f>O18</f>
        <v>53.095911443530746</v>
      </c>
      <c r="H92" s="273">
        <f>'N CARRILES HCM'!C40</f>
        <v>3595.5</v>
      </c>
      <c r="I92" s="273">
        <f>G92*H92*365</f>
        <v>69680817.602253392</v>
      </c>
      <c r="J92" s="346"/>
      <c r="K92" s="271">
        <v>0</v>
      </c>
      <c r="L92" s="354">
        <f>G55</f>
        <v>69.242183579046412</v>
      </c>
      <c r="M92" s="273">
        <f>'N CARRILES HCM'!C77</f>
        <v>7191</v>
      </c>
      <c r="N92" s="273">
        <f>L92*M92*365</f>
        <v>181740997.87267679</v>
      </c>
      <c r="O92">
        <f>L92*H92*365</f>
        <v>90870498.936338395</v>
      </c>
    </row>
    <row r="93" spans="1:16" x14ac:dyDescent="0.25">
      <c r="A93" s="271">
        <v>1</v>
      </c>
      <c r="B93" s="354">
        <f t="shared" ref="B93:B122" si="15">G19</f>
        <v>66.739454052092938</v>
      </c>
      <c r="C93" s="273">
        <f>'N CARRILES HCM'!C4</f>
        <v>3703.3650000000002</v>
      </c>
      <c r="D93" s="273">
        <f t="shared" ref="D93:D122" si="16">B93*C93*365</f>
        <v>90213603.763304651</v>
      </c>
      <c r="E93" s="345"/>
      <c r="F93" s="271">
        <v>1</v>
      </c>
      <c r="G93" s="354">
        <f t="shared" ref="G93:G122" si="17">O19</f>
        <v>53.259357807140233</v>
      </c>
      <c r="H93" s="273">
        <f>'N CARRILES HCM'!C41</f>
        <v>3703.3650000000002</v>
      </c>
      <c r="I93" s="273">
        <f t="shared" ref="I93:I122" si="18">G93*H93*365</f>
        <v>71992177.19328557</v>
      </c>
      <c r="J93" s="346"/>
      <c r="K93" s="271">
        <v>1</v>
      </c>
      <c r="L93" s="354">
        <f t="shared" ref="L93:L122" si="19">G56</f>
        <v>69.242183579046412</v>
      </c>
      <c r="M93" s="273">
        <f>'N CARRILES HCM'!C78</f>
        <v>7406.7300000000005</v>
      </c>
      <c r="N93" s="273">
        <f t="shared" ref="N93:N122" si="20">L93*M93*365</f>
        <v>187193227.80885711</v>
      </c>
      <c r="O93">
        <f t="shared" ref="O93:O124" si="21">L93*H93*365</f>
        <v>93596613.904428557</v>
      </c>
    </row>
    <row r="94" spans="1:16" x14ac:dyDescent="0.25">
      <c r="A94" s="271">
        <v>2</v>
      </c>
      <c r="B94" s="354">
        <f t="shared" si="15"/>
        <v>66.739454052092938</v>
      </c>
      <c r="C94" s="273">
        <f>'N CARRILES HCM'!C5</f>
        <v>3814.4659499999998</v>
      </c>
      <c r="D94" s="273">
        <f t="shared" si="16"/>
        <v>92920011.876203775</v>
      </c>
      <c r="E94" s="345"/>
      <c r="F94" s="271">
        <v>2</v>
      </c>
      <c r="G94" s="354">
        <f t="shared" si="17"/>
        <v>53.428762924747737</v>
      </c>
      <c r="H94" s="273">
        <f>'N CARRILES HCM'!C42</f>
        <v>3814.4659499999998</v>
      </c>
      <c r="I94" s="273">
        <f t="shared" si="18"/>
        <v>74387801.878381521</v>
      </c>
      <c r="J94" s="346"/>
      <c r="K94" s="271">
        <v>2</v>
      </c>
      <c r="L94" s="354">
        <f t="shared" si="19"/>
        <v>69.242183579046412</v>
      </c>
      <c r="M94" s="273">
        <f>'N CARRILES HCM'!C79</f>
        <v>7628.9318999999996</v>
      </c>
      <c r="N94" s="273">
        <f t="shared" si="20"/>
        <v>192809024.64312282</v>
      </c>
      <c r="O94">
        <f t="shared" si="21"/>
        <v>96404512.321561411</v>
      </c>
    </row>
    <row r="95" spans="1:16" x14ac:dyDescent="0.25">
      <c r="A95" s="271">
        <v>3</v>
      </c>
      <c r="B95" s="354">
        <f t="shared" si="15"/>
        <v>66.739454052092938</v>
      </c>
      <c r="C95" s="273">
        <f>'N CARRILES HCM'!C6</f>
        <v>3928.8999285</v>
      </c>
      <c r="D95" s="273">
        <f t="shared" si="16"/>
        <v>95707612.232489899</v>
      </c>
      <c r="E95" s="345"/>
      <c r="F95" s="271">
        <v>3</v>
      </c>
      <c r="G95" s="354">
        <f t="shared" si="17"/>
        <v>53.53798643573711</v>
      </c>
      <c r="H95" s="273">
        <f>'N CARRILES HCM'!C43</f>
        <v>3928.8999285</v>
      </c>
      <c r="I95" s="273">
        <f t="shared" si="18"/>
        <v>76776067.743981555</v>
      </c>
      <c r="J95" s="346"/>
      <c r="K95" s="271">
        <v>3</v>
      </c>
      <c r="L95" s="354">
        <f t="shared" si="19"/>
        <v>69.242183579046412</v>
      </c>
      <c r="M95" s="273">
        <f>'N CARRILES HCM'!C80</f>
        <v>7857.799857</v>
      </c>
      <c r="N95" s="273">
        <f t="shared" si="20"/>
        <v>198593295.38241652</v>
      </c>
      <c r="O95">
        <f t="shared" si="21"/>
        <v>99296647.691208258</v>
      </c>
    </row>
    <row r="96" spans="1:16" x14ac:dyDescent="0.25">
      <c r="A96" s="271">
        <v>4</v>
      </c>
      <c r="B96" s="354">
        <f t="shared" si="15"/>
        <v>66.739454052092938</v>
      </c>
      <c r="C96" s="273">
        <f>'N CARRILES HCM'!C7</f>
        <v>4046.7669263549997</v>
      </c>
      <c r="D96" s="273">
        <f t="shared" si="16"/>
        <v>98578840.599464595</v>
      </c>
      <c r="E96" s="345"/>
      <c r="F96" s="271">
        <v>4</v>
      </c>
      <c r="G96" s="354">
        <f t="shared" si="17"/>
        <v>53.717629278617743</v>
      </c>
      <c r="H96" s="273">
        <f>'N CARRILES HCM'!C44</f>
        <v>4046.7669263549997</v>
      </c>
      <c r="I96" s="273">
        <f t="shared" si="18"/>
        <v>79344694.817321882</v>
      </c>
      <c r="J96" s="346"/>
      <c r="K96" s="271">
        <v>4</v>
      </c>
      <c r="L96" s="354">
        <f t="shared" si="19"/>
        <v>69.242183579046412</v>
      </c>
      <c r="M96" s="273">
        <f>'N CARRILES HCM'!C81</f>
        <v>8093.5338527099993</v>
      </c>
      <c r="N96" s="273">
        <f t="shared" si="20"/>
        <v>204551094.243889</v>
      </c>
      <c r="O96">
        <f t="shared" si="21"/>
        <v>102275547.1219445</v>
      </c>
    </row>
    <row r="97" spans="1:15" x14ac:dyDescent="0.25">
      <c r="A97" s="271">
        <v>5</v>
      </c>
      <c r="B97" s="354">
        <f t="shared" si="15"/>
        <v>66.739454052092938</v>
      </c>
      <c r="C97" s="273">
        <f>'N CARRILES HCM'!C8</f>
        <v>4168.1699341456497</v>
      </c>
      <c r="D97" s="273">
        <f t="shared" si="16"/>
        <v>101536205.81744851</v>
      </c>
      <c r="E97" s="345"/>
      <c r="F97" s="271">
        <v>5</v>
      </c>
      <c r="G97" s="354">
        <f t="shared" si="17"/>
        <v>53.903926127489733</v>
      </c>
      <c r="H97" s="273">
        <f>'N CARRILES HCM'!C45</f>
        <v>4168.1699341456497</v>
      </c>
      <c r="I97" s="273">
        <f t="shared" si="18"/>
        <v>82008464.339208961</v>
      </c>
      <c r="J97" s="346"/>
      <c r="K97" s="271">
        <v>5</v>
      </c>
      <c r="L97" s="354">
        <f t="shared" si="19"/>
        <v>69.242183579046412</v>
      </c>
      <c r="M97" s="273">
        <f>'N CARRILES HCM'!C82</f>
        <v>8336.3398682912994</v>
      </c>
      <c r="N97" s="273">
        <f t="shared" si="20"/>
        <v>210687627.07120565</v>
      </c>
      <c r="O97">
        <f t="shared" si="21"/>
        <v>105343813.53560282</v>
      </c>
    </row>
    <row r="98" spans="1:15" x14ac:dyDescent="0.25">
      <c r="A98" s="271">
        <v>6</v>
      </c>
      <c r="B98" s="354">
        <f t="shared" si="15"/>
        <v>66.739454052092938</v>
      </c>
      <c r="C98" s="273">
        <f>'N CARRILES HCM'!C9</f>
        <v>4293.2150321700192</v>
      </c>
      <c r="D98" s="273">
        <f t="shared" si="16"/>
        <v>104582291.99197198</v>
      </c>
      <c r="E98" s="345"/>
      <c r="F98" s="271">
        <v>6</v>
      </c>
      <c r="G98" s="354">
        <f t="shared" si="17"/>
        <v>54.097167637942917</v>
      </c>
      <c r="H98" s="273">
        <f>'N CARRILES HCM'!C46</f>
        <v>4293.2150321700192</v>
      </c>
      <c r="I98" s="273">
        <f t="shared" si="18"/>
        <v>84771532.254878879</v>
      </c>
      <c r="J98" s="346"/>
      <c r="K98" s="271">
        <v>6</v>
      </c>
      <c r="L98" s="354">
        <f t="shared" si="19"/>
        <v>69.242183579046412</v>
      </c>
      <c r="M98" s="273">
        <f>'N CARRILES HCM'!C83</f>
        <v>8586.4300643400384</v>
      </c>
      <c r="N98" s="273">
        <f t="shared" si="20"/>
        <v>217008255.88334185</v>
      </c>
      <c r="O98">
        <f t="shared" si="21"/>
        <v>108504127.94167092</v>
      </c>
    </row>
    <row r="99" spans="1:15" x14ac:dyDescent="0.25">
      <c r="A99" s="271">
        <v>7</v>
      </c>
      <c r="B99" s="354">
        <f t="shared" si="15"/>
        <v>66.739454052092938</v>
      </c>
      <c r="C99" s="273">
        <f>'N CARRILES HCM'!C10</f>
        <v>4422.0114831351202</v>
      </c>
      <c r="D99" s="273">
        <f t="shared" si="16"/>
        <v>107719760.75173116</v>
      </c>
      <c r="E99" s="345"/>
      <c r="F99" s="271">
        <v>7</v>
      </c>
      <c r="G99" s="354">
        <f t="shared" si="17"/>
        <v>54.297660246048309</v>
      </c>
      <c r="H99" s="273">
        <f>'N CARRILES HCM'!C47</f>
        <v>4422.0114831351202</v>
      </c>
      <c r="I99" s="273">
        <f t="shared" si="18"/>
        <v>87638280.14711915</v>
      </c>
      <c r="J99" s="346"/>
      <c r="K99" s="271">
        <v>7</v>
      </c>
      <c r="L99" s="354">
        <f t="shared" si="19"/>
        <v>69.242183579046412</v>
      </c>
      <c r="M99" s="273">
        <f>'N CARRILES HCM'!C84</f>
        <v>8844.0229662702404</v>
      </c>
      <c r="N99" s="273">
        <f t="shared" si="20"/>
        <v>223518503.55984211</v>
      </c>
      <c r="O99">
        <f t="shared" si="21"/>
        <v>111759251.77992105</v>
      </c>
    </row>
    <row r="100" spans="1:15" x14ac:dyDescent="0.25">
      <c r="A100" s="271">
        <v>8</v>
      </c>
      <c r="B100" s="354">
        <f t="shared" si="15"/>
        <v>66.739454052092938</v>
      </c>
      <c r="C100" s="273">
        <f>'N CARRILES HCM'!C11</f>
        <v>4554.6718276291731</v>
      </c>
      <c r="D100" s="273">
        <f t="shared" si="16"/>
        <v>110951353.57428308</v>
      </c>
      <c r="E100" s="345"/>
      <c r="F100" s="271">
        <v>8</v>
      </c>
      <c r="G100" s="354">
        <f t="shared" si="17"/>
        <v>54.50572724411262</v>
      </c>
      <c r="H100" s="273">
        <f>'N CARRILES HCM'!C48</f>
        <v>4554.6718276291731</v>
      </c>
      <c r="I100" s="273">
        <f t="shared" si="18"/>
        <v>90613330.617967874</v>
      </c>
      <c r="J100" s="346"/>
      <c r="K100" s="271">
        <v>8</v>
      </c>
      <c r="L100" s="354">
        <f t="shared" si="19"/>
        <v>69.242183579046412</v>
      </c>
      <c r="M100" s="273">
        <f>'N CARRILES HCM'!C85</f>
        <v>9109.3436552583462</v>
      </c>
      <c r="N100" s="273">
        <f t="shared" si="20"/>
        <v>230224058.6666373</v>
      </c>
      <c r="O100">
        <f t="shared" si="21"/>
        <v>115112029.33331865</v>
      </c>
    </row>
    <row r="101" spans="1:15" x14ac:dyDescent="0.25">
      <c r="A101" s="271">
        <v>9</v>
      </c>
      <c r="B101" s="354">
        <f t="shared" si="15"/>
        <v>66.739454052092938</v>
      </c>
      <c r="C101" s="273">
        <f>'N CARRILES HCM'!C12</f>
        <v>4691.3119824580481</v>
      </c>
      <c r="D101" s="273">
        <f t="shared" si="16"/>
        <v>114279894.18151157</v>
      </c>
      <c r="E101" s="345"/>
      <c r="F101" s="271">
        <v>9</v>
      </c>
      <c r="G101" s="354">
        <f t="shared" si="17"/>
        <v>54.721709946163223</v>
      </c>
      <c r="H101" s="273">
        <f>'N CARRILES HCM'!C49</f>
        <v>4691.3119824580481</v>
      </c>
      <c r="I101" s="273">
        <f t="shared" si="18"/>
        <v>93701563.953425691</v>
      </c>
      <c r="J101" s="346"/>
      <c r="K101" s="271">
        <v>9</v>
      </c>
      <c r="L101" s="354">
        <f t="shared" si="19"/>
        <v>69.242183579046412</v>
      </c>
      <c r="M101" s="273">
        <f>'N CARRILES HCM'!C86</f>
        <v>9382.6239649160962</v>
      </c>
      <c r="N101" s="273">
        <f t="shared" si="20"/>
        <v>237130780.42663643</v>
      </c>
      <c r="O101">
        <f t="shared" si="21"/>
        <v>118565390.21331821</v>
      </c>
    </row>
    <row r="102" spans="1:15" x14ac:dyDescent="0.25">
      <c r="A102" s="271">
        <v>10</v>
      </c>
      <c r="B102" s="354">
        <f t="shared" si="15"/>
        <v>66.739454052092938</v>
      </c>
      <c r="C102" s="273">
        <f>'N CARRILES HCM'!C13</f>
        <v>4832.0513419317895</v>
      </c>
      <c r="D102" s="273">
        <f t="shared" si="16"/>
        <v>117708291.00695691</v>
      </c>
      <c r="E102" s="345"/>
      <c r="F102" s="271">
        <v>10</v>
      </c>
      <c r="G102" s="354">
        <f t="shared" si="17"/>
        <v>54.945968952038655</v>
      </c>
      <c r="H102" s="273">
        <f>'N CARRILES HCM'!C50</f>
        <v>4832.0513419317895</v>
      </c>
      <c r="I102" s="273">
        <f t="shared" si="18"/>
        <v>96908136.198080897</v>
      </c>
      <c r="J102" s="346"/>
      <c r="K102" s="271">
        <v>10</v>
      </c>
      <c r="L102" s="354">
        <f t="shared" si="19"/>
        <v>69.242183579046412</v>
      </c>
      <c r="M102" s="273">
        <f>'N CARRILES HCM'!C87</f>
        <v>9664.1026838635789</v>
      </c>
      <c r="N102" s="273">
        <f t="shared" si="20"/>
        <v>244244703.83943552</v>
      </c>
      <c r="O102">
        <f t="shared" si="21"/>
        <v>122122351.91971776</v>
      </c>
    </row>
    <row r="103" spans="1:15" x14ac:dyDescent="0.25">
      <c r="A103" s="271">
        <v>11</v>
      </c>
      <c r="B103" s="354">
        <f t="shared" si="15"/>
        <v>66.739454052092938</v>
      </c>
      <c r="C103" s="273">
        <f>'N CARRILES HCM'!C14</f>
        <v>4977.0128821897433</v>
      </c>
      <c r="D103" s="273">
        <f t="shared" si="16"/>
        <v>121239539.7371656</v>
      </c>
      <c r="E103" s="345"/>
      <c r="F103" s="271">
        <v>11</v>
      </c>
      <c r="G103" s="354">
        <f t="shared" si="17"/>
        <v>55.178885519977115</v>
      </c>
      <c r="H103" s="273">
        <f>'N CARRILES HCM'!C51</f>
        <v>4977.0128821897433</v>
      </c>
      <c r="I103" s="273">
        <f t="shared" si="18"/>
        <v>100238498.78109671</v>
      </c>
      <c r="J103" s="346"/>
      <c r="K103" s="271">
        <v>11</v>
      </c>
      <c r="L103" s="354">
        <f t="shared" si="19"/>
        <v>69.242183579046412</v>
      </c>
      <c r="M103" s="273">
        <f>'N CARRILES HCM'!C88</f>
        <v>9954.0257643794866</v>
      </c>
      <c r="N103" s="273">
        <f t="shared" si="20"/>
        <v>251572044.9546186</v>
      </c>
      <c r="O103">
        <f t="shared" si="21"/>
        <v>125786022.4773093</v>
      </c>
    </row>
    <row r="104" spans="1:15" x14ac:dyDescent="0.25">
      <c r="A104" s="271">
        <v>12</v>
      </c>
      <c r="B104" s="354">
        <f t="shared" si="15"/>
        <v>66.739454052092938</v>
      </c>
      <c r="C104" s="273">
        <f>'N CARRILES HCM'!C15</f>
        <v>5126.3232686554356</v>
      </c>
      <c r="D104" s="273">
        <f t="shared" si="16"/>
        <v>124876725.92928058</v>
      </c>
      <c r="E104" s="345"/>
      <c r="F104" s="271">
        <v>12</v>
      </c>
      <c r="G104" s="354">
        <f t="shared" si="17"/>
        <v>55.420863058746384</v>
      </c>
      <c r="H104" s="273">
        <f>'N CARRILES HCM'!C52</f>
        <v>5126.3232686554356</v>
      </c>
      <c r="I104" s="273">
        <f t="shared" si="18"/>
        <v>103698419.85146157</v>
      </c>
      <c r="J104" s="346"/>
      <c r="K104" s="271">
        <v>12</v>
      </c>
      <c r="L104" s="354">
        <f t="shared" si="19"/>
        <v>76.935759532273792</v>
      </c>
      <c r="M104" s="273">
        <f>'N CARRILES HCM'!C89</f>
        <v>10252.646537310871</v>
      </c>
      <c r="N104" s="273">
        <f t="shared" si="20"/>
        <v>287910229.22584134</v>
      </c>
      <c r="O104">
        <f t="shared" si="21"/>
        <v>143955114.61292067</v>
      </c>
    </row>
    <row r="105" spans="1:15" x14ac:dyDescent="0.25">
      <c r="A105" s="271">
        <v>13</v>
      </c>
      <c r="B105" s="354">
        <f t="shared" si="15"/>
        <v>66.739454052092938</v>
      </c>
      <c r="C105" s="273">
        <f>'N CARRILES HCM'!C16</f>
        <v>5280.1129667150981</v>
      </c>
      <c r="D105" s="273">
        <f t="shared" si="16"/>
        <v>128623027.70715897</v>
      </c>
      <c r="E105" s="345"/>
      <c r="F105" s="271">
        <v>13</v>
      </c>
      <c r="G105" s="354">
        <f t="shared" si="17"/>
        <v>55.672328751661155</v>
      </c>
      <c r="H105" s="273">
        <f>'N CARRILES HCM'!C53</f>
        <v>5280.1129667150981</v>
      </c>
      <c r="I105" s="273">
        <f t="shared" si="18"/>
        <v>107294007.4990382</v>
      </c>
      <c r="J105" s="346"/>
      <c r="K105" s="271">
        <v>13</v>
      </c>
      <c r="L105" s="354">
        <f t="shared" si="19"/>
        <v>76.935759532273792</v>
      </c>
      <c r="M105" s="273">
        <f>'N CARRILES HCM'!C90</f>
        <v>10560.225933430196</v>
      </c>
      <c r="N105" s="273">
        <f t="shared" si="20"/>
        <v>296547536.10261649</v>
      </c>
      <c r="O105">
        <f t="shared" si="21"/>
        <v>148273768.05130824</v>
      </c>
    </row>
    <row r="106" spans="1:15" x14ac:dyDescent="0.25">
      <c r="A106" s="271">
        <v>14</v>
      </c>
      <c r="B106" s="354">
        <f t="shared" si="15"/>
        <v>69.242183579046412</v>
      </c>
      <c r="C106" s="273">
        <f>'N CARRILES HCM'!C17</f>
        <v>5438.5163557165515</v>
      </c>
      <c r="D106" s="273">
        <f t="shared" si="16"/>
        <v>137449782.98356277</v>
      </c>
      <c r="E106" s="345"/>
      <c r="F106" s="271">
        <v>14</v>
      </c>
      <c r="G106" s="354">
        <f t="shared" si="17"/>
        <v>55.933735326313744</v>
      </c>
      <c r="H106" s="273">
        <f>'N CARRILES HCM'!C54</f>
        <v>5438.5163557165515</v>
      </c>
      <c r="I106" s="273">
        <f t="shared" si="18"/>
        <v>111031735.05909446</v>
      </c>
      <c r="J106" s="346"/>
      <c r="K106" s="271">
        <v>14</v>
      </c>
      <c r="L106" s="354">
        <f t="shared" si="19"/>
        <v>76.935759532273792</v>
      </c>
      <c r="M106" s="273">
        <f>'N CARRILES HCM'!C91</f>
        <v>10877.032711433103</v>
      </c>
      <c r="N106" s="273">
        <f t="shared" si="20"/>
        <v>305443962.18569499</v>
      </c>
      <c r="O106">
        <f t="shared" si="21"/>
        <v>152721981.0928475</v>
      </c>
    </row>
    <row r="107" spans="1:15" x14ac:dyDescent="0.25">
      <c r="A107" s="271">
        <v>15</v>
      </c>
      <c r="B107" s="354">
        <f t="shared" si="15"/>
        <v>69.242183579046412</v>
      </c>
      <c r="C107" s="273">
        <f>'N CARRILES HCM'!C18</f>
        <v>5601.6718463880488</v>
      </c>
      <c r="D107" s="273">
        <f t="shared" si="16"/>
        <v>141573276.47306964</v>
      </c>
      <c r="E107" s="345"/>
      <c r="F107" s="271">
        <v>15</v>
      </c>
      <c r="G107" s="354">
        <f t="shared" si="17"/>
        <v>56.205562985524224</v>
      </c>
      <c r="H107" s="273">
        <f>'N CARRILES HCM'!C55</f>
        <v>5601.6718463880488</v>
      </c>
      <c r="I107" s="273">
        <f t="shared" si="18"/>
        <v>114918468.72203647</v>
      </c>
      <c r="J107" s="346"/>
      <c r="K107" s="271">
        <v>15</v>
      </c>
      <c r="L107" s="354">
        <f t="shared" si="19"/>
        <v>76.935759532273792</v>
      </c>
      <c r="M107" s="273">
        <f>'N CARRILES HCM'!C92</f>
        <v>11203.343692776098</v>
      </c>
      <c r="N107" s="273">
        <f t="shared" si="20"/>
        <v>314607281.0512659</v>
      </c>
      <c r="O107">
        <f t="shared" si="21"/>
        <v>157303640.52563295</v>
      </c>
    </row>
    <row r="108" spans="1:15" x14ac:dyDescent="0.25">
      <c r="A108" s="271">
        <v>16</v>
      </c>
      <c r="B108" s="354">
        <f t="shared" si="15"/>
        <v>69.242183579046412</v>
      </c>
      <c r="C108" s="273">
        <f>'N CARRILES HCM'!C19</f>
        <v>5769.722001779689</v>
      </c>
      <c r="D108" s="273">
        <f t="shared" si="16"/>
        <v>145820474.76726171</v>
      </c>
      <c r="E108" s="345"/>
      <c r="F108" s="271">
        <v>16</v>
      </c>
      <c r="G108" s="354">
        <f t="shared" si="17"/>
        <v>56.382467185502833</v>
      </c>
      <c r="H108" s="273">
        <f>'N CARRILES HCM'!C56</f>
        <v>5769.722001779689</v>
      </c>
      <c r="I108" s="273">
        <f t="shared" si="18"/>
        <v>118738573.92370822</v>
      </c>
      <c r="J108" s="346"/>
      <c r="K108" s="271">
        <v>16</v>
      </c>
      <c r="L108" s="354">
        <f t="shared" si="19"/>
        <v>76.935759532273792</v>
      </c>
      <c r="M108" s="273">
        <f>'N CARRILES HCM'!C93</f>
        <v>11539.444003559378</v>
      </c>
      <c r="N108" s="273">
        <f t="shared" si="20"/>
        <v>324045499.48280382</v>
      </c>
      <c r="O108">
        <f t="shared" si="21"/>
        <v>162022749.74140191</v>
      </c>
    </row>
    <row r="109" spans="1:15" x14ac:dyDescent="0.25">
      <c r="A109" s="271">
        <v>17</v>
      </c>
      <c r="B109" s="354">
        <f t="shared" si="15"/>
        <v>69.242183579046412</v>
      </c>
      <c r="C109" s="273">
        <f>'N CARRILES HCM'!C20</f>
        <v>5942.81366183308</v>
      </c>
      <c r="D109" s="273">
        <f t="shared" si="16"/>
        <v>150195089.0102796</v>
      </c>
      <c r="E109" s="345"/>
      <c r="F109" s="271">
        <v>17</v>
      </c>
      <c r="G109" s="354">
        <f t="shared" si="17"/>
        <v>56.67239117178945</v>
      </c>
      <c r="H109" s="273">
        <f>'N CARRILES HCM'!C57</f>
        <v>5942.81366183308</v>
      </c>
      <c r="I109" s="273">
        <f t="shared" si="18"/>
        <v>122929613.08412744</v>
      </c>
      <c r="J109" s="346"/>
      <c r="K109" s="271">
        <v>17</v>
      </c>
      <c r="L109" s="354">
        <f t="shared" si="19"/>
        <v>76.935759532273792</v>
      </c>
      <c r="M109" s="273">
        <f>'N CARRILES HCM'!C94</f>
        <v>11885.62732366616</v>
      </c>
      <c r="N109" s="273">
        <f t="shared" si="20"/>
        <v>333766864.46728796</v>
      </c>
      <c r="O109">
        <f t="shared" si="21"/>
        <v>166883432.23364398</v>
      </c>
    </row>
    <row r="110" spans="1:15" x14ac:dyDescent="0.25">
      <c r="A110" s="271">
        <v>18</v>
      </c>
      <c r="B110" s="354">
        <f t="shared" si="15"/>
        <v>69.242183579046412</v>
      </c>
      <c r="C110" s="273">
        <f>'N CARRILES HCM'!C21</f>
        <v>6121.0980716880722</v>
      </c>
      <c r="D110" s="273">
        <f t="shared" si="16"/>
        <v>154700941.68058795</v>
      </c>
      <c r="E110" s="345"/>
      <c r="F110" s="271">
        <v>18</v>
      </c>
      <c r="G110" s="354">
        <f t="shared" si="17"/>
        <v>56.974146623524561</v>
      </c>
      <c r="H110" s="273">
        <f>'N CARRILES HCM'!C58</f>
        <v>6121.0980716880722</v>
      </c>
      <c r="I110" s="273">
        <f t="shared" si="18"/>
        <v>127291683.74716534</v>
      </c>
      <c r="J110" s="346"/>
      <c r="K110" s="271">
        <v>18</v>
      </c>
      <c r="L110" s="354">
        <f t="shared" si="19"/>
        <v>76.935759532273792</v>
      </c>
      <c r="M110" s="273">
        <f>'N CARRILES HCM'!C95</f>
        <v>12242.196143376144</v>
      </c>
      <c r="N110" s="273">
        <f t="shared" si="20"/>
        <v>343779870.40130657</v>
      </c>
      <c r="O110">
        <f t="shared" si="21"/>
        <v>171889935.20065328</v>
      </c>
    </row>
    <row r="111" spans="1:15" x14ac:dyDescent="0.25">
      <c r="A111" s="271">
        <v>19</v>
      </c>
      <c r="B111" s="354">
        <f t="shared" si="15"/>
        <v>69.242183579046412</v>
      </c>
      <c r="C111" s="273">
        <f>'N CARRILES HCM'!C22</f>
        <v>6304.7310138387138</v>
      </c>
      <c r="D111" s="273">
        <f t="shared" si="16"/>
        <v>159341969.93100557</v>
      </c>
      <c r="E111" s="345"/>
      <c r="F111" s="271">
        <v>19</v>
      </c>
      <c r="G111" s="354">
        <f t="shared" si="17"/>
        <v>57.288332744137946</v>
      </c>
      <c r="H111" s="273">
        <f>'N CARRILES HCM'!C59</f>
        <v>6304.7310138387138</v>
      </c>
      <c r="I111" s="273">
        <f t="shared" si="18"/>
        <v>131833447.78682362</v>
      </c>
      <c r="J111" s="346"/>
      <c r="K111" s="271">
        <v>19</v>
      </c>
      <c r="L111" s="354">
        <f t="shared" si="19"/>
        <v>76.935759532273792</v>
      </c>
      <c r="M111" s="273">
        <f>'N CARRILES HCM'!C96</f>
        <v>12609.462027677428</v>
      </c>
      <c r="N111" s="273">
        <f t="shared" si="20"/>
        <v>354093266.51334578</v>
      </c>
      <c r="O111">
        <f t="shared" si="21"/>
        <v>177046633.25667289</v>
      </c>
    </row>
    <row r="112" spans="1:15" x14ac:dyDescent="0.25">
      <c r="A112" s="271">
        <v>20</v>
      </c>
      <c r="B112" s="354">
        <f t="shared" si="15"/>
        <v>69.242183579046412</v>
      </c>
      <c r="C112" s="273">
        <f>'N CARRILES HCM'!C23</f>
        <v>6493.8729442538752</v>
      </c>
      <c r="D112" s="273">
        <f t="shared" si="16"/>
        <v>164122229.02893576</v>
      </c>
      <c r="E112" s="345"/>
      <c r="F112" s="271">
        <v>20</v>
      </c>
      <c r="G112" s="354">
        <f t="shared" si="17"/>
        <v>57.615587818045746</v>
      </c>
      <c r="H112" s="273">
        <f>'N CARRILES HCM'!C60</f>
        <v>6493.8729442538752</v>
      </c>
      <c r="I112" s="273">
        <f t="shared" si="18"/>
        <v>136564132.01809499</v>
      </c>
      <c r="J112" s="346"/>
      <c r="K112" s="271">
        <v>20</v>
      </c>
      <c r="L112" s="354">
        <f t="shared" si="19"/>
        <v>76.935759532273792</v>
      </c>
      <c r="M112" s="273">
        <f>'N CARRILES HCM'!C97</f>
        <v>12987.74588850775</v>
      </c>
      <c r="N112" s="273">
        <f t="shared" si="20"/>
        <v>364716064.50874609</v>
      </c>
      <c r="O112">
        <f t="shared" si="21"/>
        <v>182358032.25437304</v>
      </c>
    </row>
    <row r="113" spans="1:15" x14ac:dyDescent="0.25">
      <c r="A113" s="271">
        <v>21</v>
      </c>
      <c r="B113" s="354">
        <f t="shared" si="15"/>
        <v>69.242183579046412</v>
      </c>
      <c r="C113" s="273">
        <f>'N CARRILES HCM'!C24</f>
        <v>6688.6891325814904</v>
      </c>
      <c r="D113" s="273">
        <f t="shared" si="16"/>
        <v>169045895.89980379</v>
      </c>
      <c r="E113" s="345"/>
      <c r="F113" s="271">
        <v>21</v>
      </c>
      <c r="G113" s="354">
        <f t="shared" si="17"/>
        <v>57.956592446336359</v>
      </c>
      <c r="H113" s="273">
        <f>'N CARRILES HCM'!C61</f>
        <v>6688.6891325814904</v>
      </c>
      <c r="I113" s="273">
        <f t="shared" si="18"/>
        <v>141493574.97090155</v>
      </c>
      <c r="J113" s="346"/>
      <c r="K113" s="271">
        <v>21</v>
      </c>
      <c r="L113" s="354">
        <f t="shared" si="19"/>
        <v>76.935759532273792</v>
      </c>
      <c r="M113" s="273">
        <f>'N CARRILES HCM'!C98</f>
        <v>13377.378265162981</v>
      </c>
      <c r="N113" s="273">
        <f t="shared" si="20"/>
        <v>375657546.44400841</v>
      </c>
      <c r="O113">
        <f t="shared" si="21"/>
        <v>187828773.2220042</v>
      </c>
    </row>
    <row r="114" spans="1:15" x14ac:dyDescent="0.25">
      <c r="A114" s="271">
        <v>22</v>
      </c>
      <c r="B114" s="354">
        <f t="shared" si="15"/>
        <v>69.242183579046412</v>
      </c>
      <c r="C114" s="273">
        <f>'N CARRILES HCM'!C25</f>
        <v>6889.3498065589365</v>
      </c>
      <c r="D114" s="273">
        <f t="shared" si="16"/>
        <v>174117272.77679795</v>
      </c>
      <c r="E114" s="345"/>
      <c r="F114" s="271">
        <v>22</v>
      </c>
      <c r="G114" s="354">
        <f t="shared" si="17"/>
        <v>58.312073110441311</v>
      </c>
      <c r="H114" s="273">
        <f>'N CARRILES HCM'!C62</f>
        <v>6889.3498065589365</v>
      </c>
      <c r="I114" s="273">
        <f t="shared" si="18"/>
        <v>146632278.40526634</v>
      </c>
      <c r="J114" s="346"/>
      <c r="K114" s="271">
        <v>22</v>
      </c>
      <c r="L114" s="354">
        <f t="shared" si="19"/>
        <v>76.935759532273792</v>
      </c>
      <c r="M114" s="273">
        <f>'N CARRILES HCM'!C99</f>
        <v>13778.699613117873</v>
      </c>
      <c r="N114" s="273">
        <f t="shared" si="20"/>
        <v>386927272.83732879</v>
      </c>
      <c r="O114">
        <f t="shared" si="21"/>
        <v>193463636.4186644</v>
      </c>
    </row>
    <row r="115" spans="1:15" x14ac:dyDescent="0.25">
      <c r="A115" s="271">
        <v>23</v>
      </c>
      <c r="B115" s="354">
        <f t="shared" si="15"/>
        <v>69.242183579046412</v>
      </c>
      <c r="C115" s="273">
        <f>'N CARRILES HCM'!C26</f>
        <v>7096.030300755705</v>
      </c>
      <c r="D115" s="273">
        <f t="shared" si="16"/>
        <v>179340790.9601019</v>
      </c>
      <c r="E115" s="345"/>
      <c r="F115" s="271">
        <v>23</v>
      </c>
      <c r="G115" s="354">
        <f t="shared" si="17"/>
        <v>58.682806103268362</v>
      </c>
      <c r="H115" s="273">
        <f>'N CARRILES HCM'!C63</f>
        <v>7096.030300755705</v>
      </c>
      <c r="I115" s="273">
        <f t="shared" si="18"/>
        <v>151991464.13838989</v>
      </c>
      <c r="J115" s="346"/>
      <c r="K115" s="271">
        <v>23</v>
      </c>
      <c r="L115" s="354">
        <f t="shared" si="19"/>
        <v>76.935759532273792</v>
      </c>
      <c r="M115" s="273">
        <f>'N CARRILES HCM'!C100</f>
        <v>14192.06060151141</v>
      </c>
      <c r="N115" s="273">
        <f t="shared" si="20"/>
        <v>398535091.0224486</v>
      </c>
      <c r="O115">
        <f t="shared" si="21"/>
        <v>199267545.5112243</v>
      </c>
    </row>
    <row r="116" spans="1:15" x14ac:dyDescent="0.25">
      <c r="A116" s="271">
        <v>24</v>
      </c>
      <c r="B116" s="354">
        <f t="shared" si="15"/>
        <v>69.242183579046412</v>
      </c>
      <c r="C116" s="273">
        <f>'N CARRILES HCM'!C27</f>
        <v>7308.9112097783745</v>
      </c>
      <c r="D116" s="273">
        <f t="shared" si="16"/>
        <v>184721014.68890491</v>
      </c>
      <c r="E116" s="345"/>
      <c r="F116" s="271">
        <v>24</v>
      </c>
      <c r="G116" s="354">
        <f t="shared" si="17"/>
        <v>59.06962187279872</v>
      </c>
      <c r="H116" s="273">
        <f>'N CARRILES HCM'!C64</f>
        <v>7308.9112097783745</v>
      </c>
      <c r="I116" s="273">
        <f t="shared" si="18"/>
        <v>157583136.83416596</v>
      </c>
      <c r="J116" s="346"/>
      <c r="K116" s="271">
        <v>24</v>
      </c>
      <c r="L116" s="354">
        <f t="shared" si="19"/>
        <v>76.935759532273792</v>
      </c>
      <c r="M116" s="273">
        <f>'N CARRILES HCM'!C101</f>
        <v>14617.822419556749</v>
      </c>
      <c r="N116" s="273">
        <f t="shared" si="20"/>
        <v>410491143.75312203</v>
      </c>
      <c r="O116">
        <f t="shared" si="21"/>
        <v>205245571.87656102</v>
      </c>
    </row>
    <row r="117" spans="1:15" x14ac:dyDescent="0.25">
      <c r="A117" s="271">
        <v>25</v>
      </c>
      <c r="B117" s="354">
        <f t="shared" si="15"/>
        <v>69.242183579046412</v>
      </c>
      <c r="C117" s="273">
        <f>'N CARRILES HCM'!C28</f>
        <v>7528.1785460717256</v>
      </c>
      <c r="D117" s="273">
        <f t="shared" si="16"/>
        <v>190262645.12957203</v>
      </c>
      <c r="E117" s="345"/>
      <c r="F117" s="271">
        <v>25</v>
      </c>
      <c r="G117" s="354">
        <f t="shared" si="17"/>
        <v>59.473409829560907</v>
      </c>
      <c r="H117" s="273">
        <f>'N CARRILES HCM'!C65</f>
        <v>7528.1785460717256</v>
      </c>
      <c r="I117" s="273">
        <f t="shared" si="18"/>
        <v>163420153.49833056</v>
      </c>
      <c r="J117" s="346"/>
      <c r="K117" s="271">
        <v>25</v>
      </c>
      <c r="L117" s="354">
        <f t="shared" si="19"/>
        <v>76.935759532273792</v>
      </c>
      <c r="M117" s="273">
        <f>'N CARRILES HCM'!C102</f>
        <v>15056.357092143451</v>
      </c>
      <c r="N117" s="273">
        <f t="shared" si="20"/>
        <v>422805878.06571567</v>
      </c>
      <c r="O117">
        <f t="shared" si="21"/>
        <v>211402939.03285784</v>
      </c>
    </row>
    <row r="118" spans="1:15" x14ac:dyDescent="0.25">
      <c r="A118" s="271">
        <v>26</v>
      </c>
      <c r="B118" s="354">
        <f t="shared" si="15"/>
        <v>69.242183579046412</v>
      </c>
      <c r="C118" s="273">
        <f>'N CARRILES HCM'!C29</f>
        <v>7754.0239024538787</v>
      </c>
      <c r="D118" s="273">
        <f t="shared" si="16"/>
        <v>195970524.48345923</v>
      </c>
      <c r="E118" s="345"/>
      <c r="F118" s="271">
        <v>26</v>
      </c>
      <c r="G118" s="354">
        <f t="shared" si="17"/>
        <v>59.738742628025321</v>
      </c>
      <c r="H118" s="273">
        <f>'N CARRILES HCM'!C66</f>
        <v>7754.0239024538787</v>
      </c>
      <c r="I118" s="273">
        <f t="shared" si="18"/>
        <v>169073707.95769081</v>
      </c>
      <c r="J118" s="346"/>
      <c r="K118" s="271">
        <v>26</v>
      </c>
      <c r="L118" s="354">
        <f t="shared" si="19"/>
        <v>76.935759532273792</v>
      </c>
      <c r="M118" s="273">
        <f>'N CARRILES HCM'!C103</f>
        <v>15508.047804907757</v>
      </c>
      <c r="N118" s="273">
        <f t="shared" si="20"/>
        <v>435490054.40768725</v>
      </c>
      <c r="O118">
        <f t="shared" si="21"/>
        <v>217745027.20384362</v>
      </c>
    </row>
    <row r="119" spans="1:15" x14ac:dyDescent="0.25">
      <c r="A119" s="271">
        <v>27</v>
      </c>
      <c r="B119" s="354">
        <f t="shared" si="15"/>
        <v>69.242183579046412</v>
      </c>
      <c r="C119" s="273">
        <f>'N CARRILES HCM'!C30</f>
        <v>7986.6446195274939</v>
      </c>
      <c r="D119" s="273">
        <f t="shared" si="16"/>
        <v>201849640.21796298</v>
      </c>
      <c r="E119" s="345"/>
      <c r="F119" s="271">
        <v>27</v>
      </c>
      <c r="G119" s="354">
        <f t="shared" si="17"/>
        <v>60.172352064947447</v>
      </c>
      <c r="H119" s="273">
        <f>'N CARRILES HCM'!C67</f>
        <v>7986.6446195274939</v>
      </c>
      <c r="I119" s="273">
        <f t="shared" si="18"/>
        <v>175409945.03029671</v>
      </c>
      <c r="J119" s="346"/>
      <c r="K119" s="271">
        <v>27</v>
      </c>
      <c r="L119" s="354">
        <f t="shared" si="19"/>
        <v>76.935759532273792</v>
      </c>
      <c r="M119" s="273">
        <f>'N CARRILES HCM'!C104</f>
        <v>15973.289239054988</v>
      </c>
      <c r="N119" s="273">
        <f t="shared" si="20"/>
        <v>448554756.03991777</v>
      </c>
      <c r="O119">
        <f t="shared" si="21"/>
        <v>224277378.01995888</v>
      </c>
    </row>
    <row r="120" spans="1:15" x14ac:dyDescent="0.25">
      <c r="A120" s="271">
        <v>28</v>
      </c>
      <c r="B120" s="354">
        <f t="shared" si="15"/>
        <v>69.242183579046412</v>
      </c>
      <c r="C120" s="273">
        <f>'N CARRILES HCM'!C31</f>
        <v>8226.2439581133185</v>
      </c>
      <c r="D120" s="273">
        <f t="shared" si="16"/>
        <v>207905129.4245019</v>
      </c>
      <c r="E120" s="345"/>
      <c r="F120" s="271">
        <v>28</v>
      </c>
      <c r="G120" s="354">
        <f t="shared" si="17"/>
        <v>60.62560009290695</v>
      </c>
      <c r="H120" s="273">
        <f>'N CARRILES HCM'!C68</f>
        <v>8226.2439581133185</v>
      </c>
      <c r="I120" s="273">
        <f t="shared" si="18"/>
        <v>182033156.41201356</v>
      </c>
      <c r="J120" s="346"/>
      <c r="K120" s="271">
        <v>28</v>
      </c>
      <c r="L120" s="354">
        <f t="shared" si="19"/>
        <v>76.935759532273792</v>
      </c>
      <c r="M120" s="273">
        <f>'N CARRILES HCM'!C105</f>
        <v>16452.487916226637</v>
      </c>
      <c r="N120" s="273">
        <f t="shared" si="20"/>
        <v>462011398.72111535</v>
      </c>
      <c r="O120">
        <f t="shared" si="21"/>
        <v>231005699.36055768</v>
      </c>
    </row>
    <row r="121" spans="1:15" x14ac:dyDescent="0.25">
      <c r="A121" s="271">
        <v>29</v>
      </c>
      <c r="B121" s="354">
        <f t="shared" si="15"/>
        <v>69.242183579046412</v>
      </c>
      <c r="C121" s="273">
        <f>'N CARRILES HCM'!C32</f>
        <v>8473.0312768567183</v>
      </c>
      <c r="D121" s="273">
        <f t="shared" si="16"/>
        <v>214142283.30723691</v>
      </c>
      <c r="E121" s="47"/>
      <c r="F121" s="271">
        <v>29</v>
      </c>
      <c r="G121" s="354">
        <f t="shared" si="17"/>
        <v>61.099639897777713</v>
      </c>
      <c r="H121" s="273">
        <f>'N CARRILES HCM'!C69</f>
        <v>8473.0312768567183</v>
      </c>
      <c r="I121" s="273">
        <f t="shared" si="18"/>
        <v>188960193.34837192</v>
      </c>
      <c r="J121" s="47"/>
      <c r="K121" s="271">
        <v>29</v>
      </c>
      <c r="L121" s="354">
        <f t="shared" si="19"/>
        <v>76.935759532273792</v>
      </c>
      <c r="M121" s="273">
        <f>'N CARRILES HCM'!C106</f>
        <v>16946.062553713437</v>
      </c>
      <c r="N121" s="273">
        <f t="shared" si="20"/>
        <v>475871740.68274879</v>
      </c>
      <c r="O121">
        <f t="shared" si="21"/>
        <v>237935870.3413744</v>
      </c>
    </row>
    <row r="122" spans="1:15" x14ac:dyDescent="0.25">
      <c r="A122" s="271">
        <v>30</v>
      </c>
      <c r="B122" s="354">
        <f t="shared" si="15"/>
        <v>69.242183579046412</v>
      </c>
      <c r="C122" s="273">
        <f>'N CARRILES HCM'!C33</f>
        <v>8727.2222151624192</v>
      </c>
      <c r="D122" s="273">
        <f t="shared" si="16"/>
        <v>220566551.80645403</v>
      </c>
      <c r="E122" s="47"/>
      <c r="F122" s="271">
        <v>30</v>
      </c>
      <c r="G122" s="354">
        <f t="shared" si="17"/>
        <v>61.595713912118221</v>
      </c>
      <c r="H122" s="273">
        <f>'N CARRILES HCM'!C70</f>
        <v>8727.2222151624192</v>
      </c>
      <c r="I122" s="273">
        <f t="shared" si="18"/>
        <v>196209211.22660884</v>
      </c>
      <c r="J122" s="47"/>
      <c r="K122" s="271">
        <v>30</v>
      </c>
      <c r="L122" s="354">
        <f t="shared" si="19"/>
        <v>76.935759532273792</v>
      </c>
      <c r="M122" s="273">
        <f>'N CARRILES HCM'!C107</f>
        <v>17454.444430324838</v>
      </c>
      <c r="N122" s="273">
        <f t="shared" si="20"/>
        <v>490147892.9032312</v>
      </c>
      <c r="O122">
        <f t="shared" si="21"/>
        <v>245073946.4516156</v>
      </c>
    </row>
    <row r="123" spans="1:15" x14ac:dyDescent="0.25">
      <c r="A123" s="271">
        <v>31</v>
      </c>
      <c r="B123" s="354">
        <f>G49</f>
        <v>69.242183579046412</v>
      </c>
      <c r="C123" s="273">
        <f>'N CARRILES HCM'!C34</f>
        <v>8989.0388816172926</v>
      </c>
      <c r="D123" s="273">
        <f>B123*C123*365</f>
        <v>227183548.36064768</v>
      </c>
      <c r="F123" s="271">
        <v>31</v>
      </c>
      <c r="G123" s="354">
        <f>O49</f>
        <v>62.115162630192387</v>
      </c>
      <c r="H123" s="273">
        <f>'N CARRILES HCM'!C71</f>
        <v>8989.0388816172926</v>
      </c>
      <c r="I123" s="273">
        <f>G123*H123*365</f>
        <v>203799798.38758498</v>
      </c>
      <c r="J123" s="47"/>
      <c r="K123" s="271">
        <v>31</v>
      </c>
      <c r="L123" s="354">
        <f>G86</f>
        <v>76.935759532273792</v>
      </c>
      <c r="M123" s="273">
        <f>'N CARRILES HCM'!C108</f>
        <v>17978.077763234585</v>
      </c>
      <c r="N123" s="273">
        <f>L123*M123*365</f>
        <v>504852329.69032812</v>
      </c>
      <c r="O123">
        <f t="shared" si="21"/>
        <v>252426164.84516406</v>
      </c>
    </row>
    <row r="124" spans="1:15" x14ac:dyDescent="0.25">
      <c r="A124" s="271">
        <v>32</v>
      </c>
      <c r="B124" s="354">
        <f>G50</f>
        <v>69.242183579046412</v>
      </c>
      <c r="C124" s="273">
        <f>'N CARRILES HCM'!C35</f>
        <v>9258.71004806581</v>
      </c>
      <c r="D124" s="273">
        <f>B124*C124*365</f>
        <v>233999054.81146708</v>
      </c>
      <c r="F124" s="271">
        <v>32</v>
      </c>
      <c r="G124" s="354">
        <f>O50</f>
        <v>62.659434490681107</v>
      </c>
      <c r="H124" s="273">
        <f>'N CARRILES HCM'!C72</f>
        <v>9258.71004806581</v>
      </c>
      <c r="I124" s="273">
        <f>G124*H124*365</f>
        <v>211753120.53962153</v>
      </c>
      <c r="J124" s="47"/>
      <c r="K124" s="271">
        <v>32</v>
      </c>
      <c r="L124" s="354">
        <f>G87</f>
        <v>76.935759532273792</v>
      </c>
      <c r="M124" s="273">
        <f>'N CARRILES HCM'!C109</f>
        <v>18517.42009613162</v>
      </c>
      <c r="N124" s="273">
        <f>L124*M124*365</f>
        <v>519997899.58103794</v>
      </c>
      <c r="O124">
        <f t="shared" si="21"/>
        <v>259998949.79051897</v>
      </c>
    </row>
    <row r="125" spans="1:15" x14ac:dyDescent="0.25">
      <c r="A125" t="s">
        <v>345</v>
      </c>
    </row>
    <row r="126" spans="1:15" x14ac:dyDescent="0.25">
      <c r="E126" s="577" t="s">
        <v>534</v>
      </c>
    </row>
    <row r="127" spans="1:15" x14ac:dyDescent="0.25">
      <c r="A127" s="35" t="s">
        <v>18</v>
      </c>
      <c r="B127" s="357" t="s">
        <v>343</v>
      </c>
      <c r="D127" s="35" t="s">
        <v>18</v>
      </c>
      <c r="E127" s="578"/>
    </row>
    <row r="128" spans="1:15" x14ac:dyDescent="0.25">
      <c r="A128" s="271">
        <v>0</v>
      </c>
      <c r="B128" s="551">
        <f>N92-I92-D92</f>
        <v>24474157.199253842</v>
      </c>
      <c r="D128" s="271">
        <v>0</v>
      </c>
      <c r="E128" s="551">
        <f>O92-I92</f>
        <v>21189681.334085003</v>
      </c>
    </row>
    <row r="129" spans="1:5" x14ac:dyDescent="0.25">
      <c r="A129" s="271">
        <v>1</v>
      </c>
      <c r="B129" s="358">
        <f t="shared" ref="B129:B158" si="22">N93-I93-D93</f>
        <v>24987446.852266893</v>
      </c>
      <c r="D129" s="271">
        <v>1</v>
      </c>
      <c r="E129" s="358">
        <f t="shared" ref="E129:E160" si="23">O93-I93</f>
        <v>21604436.711142987</v>
      </c>
    </row>
    <row r="130" spans="1:5" x14ac:dyDescent="0.25">
      <c r="A130" s="271">
        <v>2</v>
      </c>
      <c r="B130" s="358">
        <f t="shared" si="22"/>
        <v>25501210.888537526</v>
      </c>
      <c r="D130" s="271">
        <v>2</v>
      </c>
      <c r="E130" s="358">
        <f t="shared" si="23"/>
        <v>22016710.443179891</v>
      </c>
    </row>
    <row r="131" spans="1:5" x14ac:dyDescent="0.25">
      <c r="A131" s="271">
        <v>3</v>
      </c>
      <c r="B131" s="358">
        <f t="shared" si="22"/>
        <v>26109615.405945063</v>
      </c>
      <c r="D131" s="271">
        <v>3</v>
      </c>
      <c r="E131" s="358">
        <f t="shared" si="23"/>
        <v>22520579.947226703</v>
      </c>
    </row>
    <row r="132" spans="1:5" x14ac:dyDescent="0.25">
      <c r="A132" s="271">
        <v>4</v>
      </c>
      <c r="B132" s="358">
        <f t="shared" si="22"/>
        <v>26627558.827102527</v>
      </c>
      <c r="D132" s="271">
        <v>4</v>
      </c>
      <c r="E132" s="358">
        <f t="shared" si="23"/>
        <v>22930852.30462262</v>
      </c>
    </row>
    <row r="133" spans="1:5" x14ac:dyDescent="0.25">
      <c r="A133" s="271">
        <v>5</v>
      </c>
      <c r="B133" s="358">
        <f t="shared" si="22"/>
        <v>27142956.914548174</v>
      </c>
      <c r="D133" s="271">
        <v>5</v>
      </c>
      <c r="E133" s="358">
        <f t="shared" si="23"/>
        <v>23335349.196393862</v>
      </c>
    </row>
    <row r="134" spans="1:5" x14ac:dyDescent="0.25">
      <c r="A134" s="271">
        <v>6</v>
      </c>
      <c r="B134" s="358">
        <f t="shared" si="22"/>
        <v>27654431.636490986</v>
      </c>
      <c r="D134" s="271">
        <v>6</v>
      </c>
      <c r="E134" s="358">
        <f t="shared" si="23"/>
        <v>23732595.686792046</v>
      </c>
    </row>
    <row r="135" spans="1:5" x14ac:dyDescent="0.25">
      <c r="A135" s="271">
        <v>7</v>
      </c>
      <c r="B135" s="358">
        <f t="shared" si="22"/>
        <v>28160462.660991788</v>
      </c>
      <c r="D135" s="271">
        <v>7</v>
      </c>
      <c r="E135" s="358">
        <f t="shared" si="23"/>
        <v>24120971.632801905</v>
      </c>
    </row>
    <row r="136" spans="1:5" x14ac:dyDescent="0.25">
      <c r="A136" s="271">
        <v>8</v>
      </c>
      <c r="B136" s="358">
        <f t="shared" si="22"/>
        <v>28659374.474386349</v>
      </c>
      <c r="D136" s="271">
        <v>8</v>
      </c>
      <c r="E136" s="358">
        <f t="shared" si="23"/>
        <v>24498698.715350777</v>
      </c>
    </row>
    <row r="137" spans="1:5" x14ac:dyDescent="0.25">
      <c r="A137" s="271">
        <v>9</v>
      </c>
      <c r="B137" s="358">
        <f t="shared" si="22"/>
        <v>29149322.291699186</v>
      </c>
      <c r="D137" s="271">
        <v>9</v>
      </c>
      <c r="E137" s="358">
        <f t="shared" si="23"/>
        <v>24863826.259892523</v>
      </c>
    </row>
    <row r="138" spans="1:5" x14ac:dyDescent="0.25">
      <c r="A138" s="271">
        <v>10</v>
      </c>
      <c r="B138" s="358">
        <f t="shared" si="22"/>
        <v>29628276.634397715</v>
      </c>
      <c r="D138" s="271">
        <v>10</v>
      </c>
      <c r="E138" s="358">
        <f t="shared" si="23"/>
        <v>25214215.721636862</v>
      </c>
    </row>
    <row r="139" spans="1:5" x14ac:dyDescent="0.25">
      <c r="A139" s="271">
        <v>11</v>
      </c>
      <c r="B139" s="358">
        <f t="shared" si="22"/>
        <v>30094006.436356276</v>
      </c>
      <c r="D139" s="271">
        <v>11</v>
      </c>
      <c r="E139" s="358">
        <f t="shared" si="23"/>
        <v>25547523.69621259</v>
      </c>
    </row>
    <row r="140" spans="1:5" x14ac:dyDescent="0.25">
      <c r="A140" s="271">
        <v>12</v>
      </c>
      <c r="B140" s="358">
        <f t="shared" si="22"/>
        <v>59335083.445099175</v>
      </c>
      <c r="D140" s="271">
        <v>12</v>
      </c>
      <c r="E140" s="358">
        <f t="shared" si="23"/>
        <v>40256694.761459097</v>
      </c>
    </row>
    <row r="141" spans="1:5" x14ac:dyDescent="0.25">
      <c r="A141" s="271">
        <v>13</v>
      </c>
      <c r="B141" s="358">
        <f t="shared" si="22"/>
        <v>60630500.896419302</v>
      </c>
      <c r="D141" s="271">
        <v>13</v>
      </c>
      <c r="E141" s="358">
        <f t="shared" si="23"/>
        <v>40979760.55227004</v>
      </c>
    </row>
    <row r="142" spans="1:5" x14ac:dyDescent="0.25">
      <c r="A142" s="271">
        <v>14</v>
      </c>
      <c r="B142" s="358">
        <f t="shared" si="22"/>
        <v>56962444.143037766</v>
      </c>
      <c r="D142" s="271">
        <v>14</v>
      </c>
      <c r="E142" s="358">
        <f t="shared" si="23"/>
        <v>41690246.033753037</v>
      </c>
    </row>
    <row r="143" spans="1:5" x14ac:dyDescent="0.25">
      <c r="A143" s="271">
        <v>15</v>
      </c>
      <c r="B143" s="358">
        <f t="shared" si="22"/>
        <v>58115535.856159776</v>
      </c>
      <c r="D143" s="271">
        <v>15</v>
      </c>
      <c r="E143" s="358">
        <f t="shared" si="23"/>
        <v>42385171.803596482</v>
      </c>
    </row>
    <row r="144" spans="1:5" x14ac:dyDescent="0.25">
      <c r="A144" s="271">
        <v>16</v>
      </c>
      <c r="B144" s="358">
        <f t="shared" si="22"/>
        <v>59486450.791833907</v>
      </c>
      <c r="D144" s="271">
        <v>16</v>
      </c>
      <c r="E144" s="358">
        <f t="shared" si="23"/>
        <v>43284175.817693695</v>
      </c>
    </row>
    <row r="145" spans="1:5" x14ac:dyDescent="0.25">
      <c r="A145" s="271">
        <v>17</v>
      </c>
      <c r="B145" s="358">
        <f t="shared" si="22"/>
        <v>60642162.372880936</v>
      </c>
      <c r="D145" s="271">
        <v>17</v>
      </c>
      <c r="E145" s="358">
        <f t="shared" si="23"/>
        <v>43953819.149516538</v>
      </c>
    </row>
    <row r="146" spans="1:5" x14ac:dyDescent="0.25">
      <c r="A146" s="271">
        <v>18</v>
      </c>
      <c r="B146" s="358">
        <f t="shared" si="22"/>
        <v>61787244.9735533</v>
      </c>
      <c r="D146" s="271">
        <v>18</v>
      </c>
      <c r="E146" s="358">
        <f t="shared" si="23"/>
        <v>44598251.453487948</v>
      </c>
    </row>
    <row r="147" spans="1:5" x14ac:dyDescent="0.25">
      <c r="A147" s="271">
        <v>19</v>
      </c>
      <c r="B147" s="358">
        <f t="shared" si="22"/>
        <v>62917848.79551658</v>
      </c>
      <c r="D147" s="271">
        <v>19</v>
      </c>
      <c r="E147" s="358">
        <f t="shared" si="23"/>
        <v>45213185.469849274</v>
      </c>
    </row>
    <row r="148" spans="1:5" x14ac:dyDescent="0.25">
      <c r="A148" s="271">
        <v>20</v>
      </c>
      <c r="B148" s="358">
        <f t="shared" si="22"/>
        <v>64029703.461715341</v>
      </c>
      <c r="D148" s="271">
        <v>20</v>
      </c>
      <c r="E148" s="358">
        <f t="shared" si="23"/>
        <v>45793900.236278057</v>
      </c>
    </row>
    <row r="149" spans="1:5" x14ac:dyDescent="0.25">
      <c r="A149" s="271">
        <v>21</v>
      </c>
      <c r="B149" s="358">
        <f t="shared" si="22"/>
        <v>65118075.573303074</v>
      </c>
      <c r="D149" s="271">
        <v>21</v>
      </c>
      <c r="E149" s="358">
        <f t="shared" si="23"/>
        <v>46335198.251102656</v>
      </c>
    </row>
    <row r="150" spans="1:5" x14ac:dyDescent="0.25">
      <c r="A150" s="271">
        <v>22</v>
      </c>
      <c r="B150" s="358">
        <f t="shared" si="22"/>
        <v>66177721.655264497</v>
      </c>
      <c r="D150" s="271">
        <v>22</v>
      </c>
      <c r="E150" s="358">
        <f t="shared" si="23"/>
        <v>46831358.013398051</v>
      </c>
    </row>
    <row r="151" spans="1:5" x14ac:dyDescent="0.25">
      <c r="A151" s="271">
        <v>23</v>
      </c>
      <c r="B151" s="358">
        <f t="shared" si="22"/>
        <v>67202835.923956811</v>
      </c>
      <c r="D151" s="271">
        <v>23</v>
      </c>
      <c r="E151" s="358">
        <f t="shared" si="23"/>
        <v>47276081.372834414</v>
      </c>
    </row>
    <row r="152" spans="1:5" x14ac:dyDescent="0.25">
      <c r="A152" s="271">
        <v>24</v>
      </c>
      <c r="B152" s="358">
        <f t="shared" si="22"/>
        <v>68186992.23005116</v>
      </c>
      <c r="D152" s="271">
        <v>24</v>
      </c>
      <c r="E152" s="358">
        <f t="shared" si="23"/>
        <v>47662435.042395055</v>
      </c>
    </row>
    <row r="153" spans="1:5" x14ac:dyDescent="0.25">
      <c r="A153" s="271">
        <v>25</v>
      </c>
      <c r="B153" s="358">
        <f t="shared" si="22"/>
        <v>69123079.437813073</v>
      </c>
      <c r="D153" s="271">
        <v>25</v>
      </c>
      <c r="E153" s="358">
        <f t="shared" si="23"/>
        <v>47982785.534527272</v>
      </c>
    </row>
    <row r="154" spans="1:5" x14ac:dyDescent="0.25">
      <c r="A154" s="271">
        <v>26</v>
      </c>
      <c r="B154" s="358">
        <f t="shared" si="22"/>
        <v>70445821.966537207</v>
      </c>
      <c r="D154" s="271">
        <v>26</v>
      </c>
      <c r="E154" s="358">
        <f t="shared" si="23"/>
        <v>48671319.246152818</v>
      </c>
    </row>
    <row r="155" spans="1:5" x14ac:dyDescent="0.25">
      <c r="A155" s="271">
        <v>27</v>
      </c>
      <c r="B155" s="358">
        <f t="shared" si="22"/>
        <v>71295170.791658044</v>
      </c>
      <c r="D155" s="271">
        <v>27</v>
      </c>
      <c r="E155" s="358">
        <f t="shared" si="23"/>
        <v>48867432.98966217</v>
      </c>
    </row>
    <row r="156" spans="1:5" x14ac:dyDescent="0.25">
      <c r="A156" s="271">
        <v>28</v>
      </c>
      <c r="B156" s="358">
        <f t="shared" si="22"/>
        <v>72073112.884599924</v>
      </c>
      <c r="D156" s="271">
        <v>28</v>
      </c>
      <c r="E156" s="358">
        <f t="shared" si="23"/>
        <v>48972542.948544115</v>
      </c>
    </row>
    <row r="157" spans="1:5" x14ac:dyDescent="0.25">
      <c r="A157" s="271">
        <v>29</v>
      </c>
      <c r="B157" s="358">
        <f t="shared" si="22"/>
        <v>72769264.027139962</v>
      </c>
      <c r="D157" s="271">
        <v>29</v>
      </c>
      <c r="E157" s="358">
        <f t="shared" si="23"/>
        <v>48975676.993002474</v>
      </c>
    </row>
    <row r="158" spans="1:5" x14ac:dyDescent="0.25">
      <c r="A158" s="271">
        <v>30</v>
      </c>
      <c r="B158" s="358">
        <f t="shared" si="22"/>
        <v>73372129.870168358</v>
      </c>
      <c r="D158" s="271">
        <v>30</v>
      </c>
      <c r="E158" s="358">
        <f t="shared" si="23"/>
        <v>48864735.225006759</v>
      </c>
    </row>
    <row r="159" spans="1:5" x14ac:dyDescent="0.25">
      <c r="A159" s="271">
        <v>31</v>
      </c>
      <c r="B159" s="358">
        <f>N123-I123-D123</f>
        <v>73868982.942095459</v>
      </c>
      <c r="D159" s="271">
        <v>31</v>
      </c>
      <c r="E159" s="358">
        <f t="shared" si="23"/>
        <v>48626366.457579076</v>
      </c>
    </row>
    <row r="160" spans="1:5" x14ac:dyDescent="0.25">
      <c r="A160" s="271">
        <v>32</v>
      </c>
      <c r="B160" s="358">
        <f>N124-I124-D124</f>
        <v>74245724.229949325</v>
      </c>
      <c r="D160" s="271">
        <v>32</v>
      </c>
      <c r="E160" s="358">
        <f t="shared" si="23"/>
        <v>48245829.250897437</v>
      </c>
    </row>
    <row r="161" spans="1:15" x14ac:dyDescent="0.25">
      <c r="A161" s="348"/>
      <c r="B161" s="359"/>
    </row>
    <row r="162" spans="1:15" x14ac:dyDescent="0.25">
      <c r="A162" t="s">
        <v>258</v>
      </c>
      <c r="B162" s="359"/>
    </row>
    <row r="163" spans="1:15" x14ac:dyDescent="0.25">
      <c r="A163" s="348"/>
      <c r="B163" s="359"/>
      <c r="C163" s="104" t="s">
        <v>254</v>
      </c>
      <c r="D163" s="104"/>
      <c r="E163" s="310"/>
    </row>
    <row r="164" spans="1:15" x14ac:dyDescent="0.25">
      <c r="A164" s="348"/>
      <c r="B164" s="359"/>
      <c r="C164" s="483" t="s">
        <v>255</v>
      </c>
      <c r="D164" s="35">
        <v>85</v>
      </c>
      <c r="E164" s="108"/>
    </row>
    <row r="165" spans="1:15" x14ac:dyDescent="0.25">
      <c r="A165" s="348"/>
      <c r="B165" s="359"/>
      <c r="C165" s="483" t="s">
        <v>256</v>
      </c>
      <c r="D165" s="35">
        <v>80</v>
      </c>
      <c r="E165" s="108"/>
    </row>
    <row r="166" spans="1:15" x14ac:dyDescent="0.25">
      <c r="A166" s="348"/>
      <c r="B166" s="359"/>
      <c r="C166" s="35" t="s">
        <v>257</v>
      </c>
      <c r="D166" s="309">
        <f>D165/D164</f>
        <v>0.94117647058823528</v>
      </c>
      <c r="E166" s="108"/>
    </row>
    <row r="169" spans="1:15" x14ac:dyDescent="0.25">
      <c r="A169" s="340"/>
      <c r="B169" s="340"/>
      <c r="C169" t="s">
        <v>335</v>
      </c>
      <c r="I169" s="340"/>
      <c r="J169" s="340"/>
      <c r="K169" t="s">
        <v>336</v>
      </c>
    </row>
    <row r="170" spans="1:15" x14ac:dyDescent="0.25">
      <c r="A170" s="106" t="s">
        <v>247</v>
      </c>
      <c r="B170" s="107">
        <f>B16</f>
        <v>70</v>
      </c>
      <c r="C170" s="152"/>
      <c r="D170" s="152"/>
      <c r="E170" s="152"/>
      <c r="F170" s="152"/>
      <c r="G170" s="352"/>
      <c r="I170" s="106" t="s">
        <v>247</v>
      </c>
      <c r="J170" s="107">
        <f>J16</f>
        <v>70</v>
      </c>
      <c r="K170" s="152"/>
      <c r="L170" s="152"/>
      <c r="M170" s="152"/>
      <c r="N170" s="152"/>
    </row>
    <row r="171" spans="1:15" ht="25.5" x14ac:dyDescent="0.25">
      <c r="A171" s="35" t="s">
        <v>18</v>
      </c>
      <c r="B171" s="95" t="s">
        <v>20</v>
      </c>
      <c r="C171" s="270" t="s">
        <v>331</v>
      </c>
      <c r="D171" s="270" t="s">
        <v>332</v>
      </c>
      <c r="E171" s="270" t="s">
        <v>333</v>
      </c>
      <c r="F171" s="270" t="s">
        <v>334</v>
      </c>
      <c r="G171" s="270" t="s">
        <v>53</v>
      </c>
      <c r="I171" s="35" t="s">
        <v>18</v>
      </c>
      <c r="J171" s="95" t="s">
        <v>20</v>
      </c>
      <c r="K171" s="270" t="s">
        <v>331</v>
      </c>
      <c r="L171" s="270" t="s">
        <v>332</v>
      </c>
      <c r="M171" s="270" t="s">
        <v>333</v>
      </c>
      <c r="N171" s="270" t="s">
        <v>334</v>
      </c>
      <c r="O171" s="270" t="s">
        <v>53</v>
      </c>
    </row>
    <row r="172" spans="1:15" x14ac:dyDescent="0.25">
      <c r="A172" s="271">
        <v>0</v>
      </c>
      <c r="B172" s="272">
        <f>B18*$D$166</f>
        <v>78.117647058823522</v>
      </c>
      <c r="C172" s="273">
        <f>IF(B172&lt;=60,60,B172)</f>
        <v>78.117647058823522</v>
      </c>
      <c r="D172" s="341">
        <f t="shared" ref="D172:D202" si="24">$B$16/C172</f>
        <v>0.89608433734939763</v>
      </c>
      <c r="E172" s="274">
        <f>(D172*$F$2*$J$2*$J$6)</f>
        <v>739.93742536016077</v>
      </c>
      <c r="F172" s="274">
        <f>(D172*$F$4*$J$3*$J$6)</f>
        <v>110.99061380402411</v>
      </c>
      <c r="G172" s="341">
        <f>E172+F172</f>
        <v>850.92803916418484</v>
      </c>
      <c r="I172" s="271">
        <v>0</v>
      </c>
      <c r="J172" s="272">
        <f>J18*$D$166</f>
        <v>98.190782958584805</v>
      </c>
      <c r="K172" s="273">
        <f>IF(J172&lt;=60,60,J172)</f>
        <v>98.190782958584805</v>
      </c>
      <c r="L172" s="341">
        <f t="shared" ref="L172:L202" si="25">$J$16/K172</f>
        <v>0.71289786974735503</v>
      </c>
      <c r="M172" s="274">
        <f>(L172*$F$2*$J$2*$J$6)</f>
        <v>588.67206165653636</v>
      </c>
      <c r="N172" s="274">
        <f>(L172*$F$4*$J$3*$J$6)</f>
        <v>88.300809248480448</v>
      </c>
      <c r="O172" s="341">
        <f>M172+N172</f>
        <v>676.97287090501686</v>
      </c>
    </row>
    <row r="173" spans="1:15" x14ac:dyDescent="0.25">
      <c r="A173" s="271">
        <v>1</v>
      </c>
      <c r="B173" s="272">
        <f t="shared" ref="B173:B204" si="26">B19*$D$166</f>
        <v>78.117647058823522</v>
      </c>
      <c r="C173" s="273">
        <f t="shared" ref="C173:C202" si="27">IF(B173&lt;=60,60,B173)</f>
        <v>78.117647058823522</v>
      </c>
      <c r="D173" s="341">
        <f t="shared" si="24"/>
        <v>0.89608433734939763</v>
      </c>
      <c r="E173" s="274">
        <f t="shared" ref="E173:E202" si="28">(D173*$F$2*$J$2*$J$6)</f>
        <v>739.93742536016077</v>
      </c>
      <c r="F173" s="274">
        <f t="shared" ref="F173:F202" si="29">(D173*$F$4*$J$3*$J$6)</f>
        <v>110.99061380402411</v>
      </c>
      <c r="G173" s="341">
        <f t="shared" ref="G173:G202" si="30">E173+F173</f>
        <v>850.92803916418484</v>
      </c>
      <c r="I173" s="271">
        <v>1</v>
      </c>
      <c r="J173" s="272">
        <f t="shared" ref="J173:J204" si="31">J19*$D$166</f>
        <v>97.889447623812941</v>
      </c>
      <c r="K173" s="273">
        <f t="shared" ref="K173:K202" si="32">IF(J173&lt;=60,60,J173)</f>
        <v>97.889447623812941</v>
      </c>
      <c r="L173" s="341">
        <f t="shared" si="25"/>
        <v>0.71509239963237414</v>
      </c>
      <c r="M173" s="274">
        <f t="shared" ref="M173:M202" si="33">(L173*$F$2*$J$2*$J$6)</f>
        <v>590.48418438351121</v>
      </c>
      <c r="N173" s="274">
        <f t="shared" ref="N173:N202" si="34">(L173*$F$4*$J$3*$J$6)</f>
        <v>88.572627657526667</v>
      </c>
      <c r="O173" s="341">
        <f t="shared" ref="O173:O202" si="35">M173+N173</f>
        <v>679.05681204103792</v>
      </c>
    </row>
    <row r="174" spans="1:15" x14ac:dyDescent="0.25">
      <c r="A174" s="271">
        <v>2</v>
      </c>
      <c r="B174" s="272">
        <f t="shared" si="26"/>
        <v>78.117647058823522</v>
      </c>
      <c r="C174" s="273">
        <f t="shared" si="27"/>
        <v>78.117647058823522</v>
      </c>
      <c r="D174" s="341">
        <f t="shared" si="24"/>
        <v>0.89608433734939763</v>
      </c>
      <c r="E174" s="274">
        <f t="shared" si="28"/>
        <v>739.93742536016077</v>
      </c>
      <c r="F174" s="274">
        <f t="shared" si="29"/>
        <v>110.99061380402411</v>
      </c>
      <c r="G174" s="341">
        <f t="shared" si="30"/>
        <v>850.92803916418484</v>
      </c>
      <c r="I174" s="271">
        <v>2</v>
      </c>
      <c r="J174" s="272">
        <f t="shared" si="31"/>
        <v>97.579072228997916</v>
      </c>
      <c r="K174" s="273">
        <f t="shared" si="32"/>
        <v>97.579072228997916</v>
      </c>
      <c r="L174" s="341">
        <f t="shared" si="25"/>
        <v>0.71736693535807006</v>
      </c>
      <c r="M174" s="274">
        <f t="shared" si="33"/>
        <v>592.36237155698586</v>
      </c>
      <c r="N174" s="274">
        <f t="shared" si="34"/>
        <v>88.854355733547862</v>
      </c>
      <c r="O174" s="341">
        <f t="shared" si="35"/>
        <v>681.21672729053375</v>
      </c>
    </row>
    <row r="175" spans="1:15" x14ac:dyDescent="0.25">
      <c r="A175" s="271">
        <v>3</v>
      </c>
      <c r="B175" s="272">
        <f t="shared" si="26"/>
        <v>78.117647058823522</v>
      </c>
      <c r="C175" s="273">
        <f t="shared" si="27"/>
        <v>78.117647058823522</v>
      </c>
      <c r="D175" s="341">
        <f t="shared" si="24"/>
        <v>0.89608433734939763</v>
      </c>
      <c r="E175" s="274">
        <f t="shared" si="28"/>
        <v>739.93742536016077</v>
      </c>
      <c r="F175" s="274">
        <f t="shared" si="29"/>
        <v>110.99061380402411</v>
      </c>
      <c r="G175" s="341">
        <f t="shared" si="30"/>
        <v>850.92803916418484</v>
      </c>
      <c r="I175" s="271">
        <v>3</v>
      </c>
      <c r="J175" s="272">
        <f t="shared" si="31"/>
        <v>97.379999951957231</v>
      </c>
      <c r="K175" s="273">
        <f t="shared" si="32"/>
        <v>97.379999951957231</v>
      </c>
      <c r="L175" s="341">
        <f t="shared" si="25"/>
        <v>0.7188334363784632</v>
      </c>
      <c r="M175" s="274">
        <f t="shared" si="33"/>
        <v>593.5733278744766</v>
      </c>
      <c r="N175" s="274">
        <f t="shared" si="34"/>
        <v>89.035999181171476</v>
      </c>
      <c r="O175" s="341">
        <f t="shared" si="35"/>
        <v>682.60932705564812</v>
      </c>
    </row>
    <row r="176" spans="1:15" x14ac:dyDescent="0.25">
      <c r="A176" s="271">
        <v>4</v>
      </c>
      <c r="B176" s="272">
        <f t="shared" si="26"/>
        <v>78.117647058823522</v>
      </c>
      <c r="C176" s="273">
        <f t="shared" si="27"/>
        <v>78.117647058823522</v>
      </c>
      <c r="D176" s="341">
        <f t="shared" si="24"/>
        <v>0.89608433734939763</v>
      </c>
      <c r="E176" s="274">
        <f t="shared" si="28"/>
        <v>739.93742536016077</v>
      </c>
      <c r="F176" s="274">
        <f t="shared" si="29"/>
        <v>110.99061380402411</v>
      </c>
      <c r="G176" s="341">
        <f t="shared" si="30"/>
        <v>850.92803916418484</v>
      </c>
      <c r="I176" s="271">
        <v>4</v>
      </c>
      <c r="J176" s="272">
        <f t="shared" si="31"/>
        <v>97.054341126986515</v>
      </c>
      <c r="K176" s="273">
        <f t="shared" si="32"/>
        <v>97.054341126986515</v>
      </c>
      <c r="L176" s="341">
        <f t="shared" si="25"/>
        <v>0.72124543000515096</v>
      </c>
      <c r="M176" s="274">
        <f t="shared" si="33"/>
        <v>595.56502026293595</v>
      </c>
      <c r="N176" s="274">
        <f t="shared" si="34"/>
        <v>89.334753039440386</v>
      </c>
      <c r="O176" s="341">
        <f t="shared" si="35"/>
        <v>684.89977330237639</v>
      </c>
    </row>
    <row r="177" spans="1:15" x14ac:dyDescent="0.25">
      <c r="A177" s="271">
        <v>5</v>
      </c>
      <c r="B177" s="272">
        <f t="shared" si="26"/>
        <v>78.117647058823522</v>
      </c>
      <c r="C177" s="273">
        <f t="shared" si="27"/>
        <v>78.117647058823522</v>
      </c>
      <c r="D177" s="341">
        <f t="shared" si="24"/>
        <v>0.89608433734939763</v>
      </c>
      <c r="E177" s="274">
        <f t="shared" si="28"/>
        <v>739.93742536016077</v>
      </c>
      <c r="F177" s="274">
        <f t="shared" si="29"/>
        <v>110.99061380402411</v>
      </c>
      <c r="G177" s="341">
        <f t="shared" si="30"/>
        <v>850.92803916418484</v>
      </c>
      <c r="I177" s="271">
        <v>5</v>
      </c>
      <c r="J177" s="272">
        <f t="shared" si="31"/>
        <v>96.718912537266718</v>
      </c>
      <c r="K177" s="273">
        <f t="shared" si="32"/>
        <v>96.718912537266718</v>
      </c>
      <c r="L177" s="341">
        <f t="shared" si="25"/>
        <v>0.72374676434692475</v>
      </c>
      <c r="M177" s="274">
        <f t="shared" si="33"/>
        <v>597.63048532651669</v>
      </c>
      <c r="N177" s="274">
        <f t="shared" si="34"/>
        <v>89.644572798977492</v>
      </c>
      <c r="O177" s="341">
        <f t="shared" si="35"/>
        <v>687.27505812549418</v>
      </c>
    </row>
    <row r="178" spans="1:15" x14ac:dyDescent="0.25">
      <c r="A178" s="271">
        <v>6</v>
      </c>
      <c r="B178" s="272">
        <f t="shared" si="26"/>
        <v>78.117647058823522</v>
      </c>
      <c r="C178" s="273">
        <f t="shared" si="27"/>
        <v>78.117647058823522</v>
      </c>
      <c r="D178" s="341">
        <f t="shared" si="24"/>
        <v>0.89608433734939763</v>
      </c>
      <c r="E178" s="274">
        <f t="shared" si="28"/>
        <v>739.93742536016077</v>
      </c>
      <c r="F178" s="274">
        <f t="shared" si="29"/>
        <v>110.99061380402411</v>
      </c>
      <c r="G178" s="341">
        <f t="shared" si="30"/>
        <v>850.92803916418484</v>
      </c>
      <c r="I178" s="271">
        <v>6</v>
      </c>
      <c r="J178" s="272">
        <f t="shared" si="31"/>
        <v>96.373421089855299</v>
      </c>
      <c r="K178" s="273">
        <f t="shared" si="32"/>
        <v>96.373421089855299</v>
      </c>
      <c r="L178" s="341">
        <f t="shared" si="25"/>
        <v>0.72634134192179789</v>
      </c>
      <c r="M178" s="274">
        <f t="shared" si="33"/>
        <v>599.77294555110632</v>
      </c>
      <c r="N178" s="274">
        <f t="shared" si="34"/>
        <v>89.965941832665933</v>
      </c>
      <c r="O178" s="341">
        <f t="shared" si="35"/>
        <v>689.73888738377229</v>
      </c>
    </row>
    <row r="179" spans="1:15" x14ac:dyDescent="0.25">
      <c r="A179" s="271">
        <v>7</v>
      </c>
      <c r="B179" s="272">
        <f t="shared" si="26"/>
        <v>78.117647058823522</v>
      </c>
      <c r="C179" s="273">
        <f t="shared" si="27"/>
        <v>78.117647058823522</v>
      </c>
      <c r="D179" s="341">
        <f t="shared" si="24"/>
        <v>0.89608433734939763</v>
      </c>
      <c r="E179" s="274">
        <f t="shared" si="28"/>
        <v>739.93742536016077</v>
      </c>
      <c r="F179" s="274">
        <f t="shared" si="29"/>
        <v>110.99061380402411</v>
      </c>
      <c r="G179" s="341">
        <f t="shared" si="30"/>
        <v>850.92803916418484</v>
      </c>
      <c r="I179" s="271">
        <v>7</v>
      </c>
      <c r="J179" s="272">
        <f t="shared" si="31"/>
        <v>96.017564899021551</v>
      </c>
      <c r="K179" s="273">
        <f t="shared" si="32"/>
        <v>96.017564899021551</v>
      </c>
      <c r="L179" s="341">
        <f t="shared" si="25"/>
        <v>0.72903327712608257</v>
      </c>
      <c r="M179" s="274">
        <f t="shared" si="33"/>
        <v>601.99579838010084</v>
      </c>
      <c r="N179" s="274">
        <f t="shared" si="34"/>
        <v>90.2993697570151</v>
      </c>
      <c r="O179" s="341">
        <f t="shared" si="35"/>
        <v>692.29516813711598</v>
      </c>
    </row>
    <row r="180" spans="1:15" x14ac:dyDescent="0.25">
      <c r="A180" s="271">
        <v>8</v>
      </c>
      <c r="B180" s="272">
        <f t="shared" si="26"/>
        <v>78.117647058823522</v>
      </c>
      <c r="C180" s="273">
        <f t="shared" si="27"/>
        <v>78.117647058823522</v>
      </c>
      <c r="D180" s="341">
        <f t="shared" si="24"/>
        <v>0.89608433734939763</v>
      </c>
      <c r="E180" s="274">
        <f t="shared" si="28"/>
        <v>739.93742536016077</v>
      </c>
      <c r="F180" s="274">
        <f t="shared" si="29"/>
        <v>110.99061380402411</v>
      </c>
      <c r="G180" s="341">
        <f t="shared" si="30"/>
        <v>850.92803916418484</v>
      </c>
      <c r="I180" s="271">
        <v>8</v>
      </c>
      <c r="J180" s="272">
        <f t="shared" si="31"/>
        <v>95.651033022462784</v>
      </c>
      <c r="K180" s="273">
        <f t="shared" si="32"/>
        <v>95.651033022462784</v>
      </c>
      <c r="L180" s="341">
        <f t="shared" si="25"/>
        <v>0.73182691067812233</v>
      </c>
      <c r="M180" s="274">
        <f t="shared" si="33"/>
        <v>604.30262814124865</v>
      </c>
      <c r="N180" s="274">
        <f t="shared" si="34"/>
        <v>90.645394221187303</v>
      </c>
      <c r="O180" s="341">
        <f t="shared" si="35"/>
        <v>694.94802236243595</v>
      </c>
    </row>
    <row r="181" spans="1:15" x14ac:dyDescent="0.25">
      <c r="A181" s="271">
        <v>9</v>
      </c>
      <c r="B181" s="272">
        <f t="shared" si="26"/>
        <v>78.117647058823522</v>
      </c>
      <c r="C181" s="273">
        <f t="shared" si="27"/>
        <v>78.117647058823522</v>
      </c>
      <c r="D181" s="341">
        <f t="shared" si="24"/>
        <v>0.89608433734939763</v>
      </c>
      <c r="E181" s="274">
        <f t="shared" si="28"/>
        <v>739.93742536016077</v>
      </c>
      <c r="F181" s="274">
        <f t="shared" si="29"/>
        <v>110.99061380402411</v>
      </c>
      <c r="G181" s="341">
        <f t="shared" si="30"/>
        <v>850.92803916418484</v>
      </c>
      <c r="I181" s="271">
        <v>9</v>
      </c>
      <c r="J181" s="272">
        <f t="shared" si="31"/>
        <v>95.273505189607263</v>
      </c>
      <c r="K181" s="273">
        <f t="shared" si="32"/>
        <v>95.273505189607263</v>
      </c>
      <c r="L181" s="341">
        <f t="shared" si="25"/>
        <v>0.73472682526679856</v>
      </c>
      <c r="M181" s="274">
        <f t="shared" si="33"/>
        <v>606.69721896833141</v>
      </c>
      <c r="N181" s="274">
        <f t="shared" si="34"/>
        <v>91.004582845249715</v>
      </c>
      <c r="O181" s="341">
        <f t="shared" si="35"/>
        <v>697.70180181358114</v>
      </c>
    </row>
    <row r="182" spans="1:15" x14ac:dyDescent="0.25">
      <c r="A182" s="271">
        <v>10</v>
      </c>
      <c r="B182" s="272">
        <f t="shared" si="26"/>
        <v>78.117647058823522</v>
      </c>
      <c r="C182" s="273">
        <f t="shared" si="27"/>
        <v>78.117647058823522</v>
      </c>
      <c r="D182" s="341">
        <f t="shared" si="24"/>
        <v>0.89608433734939763</v>
      </c>
      <c r="E182" s="274">
        <f t="shared" si="28"/>
        <v>739.93742536016077</v>
      </c>
      <c r="F182" s="274">
        <f t="shared" si="29"/>
        <v>110.99061380402411</v>
      </c>
      <c r="G182" s="341">
        <f t="shared" si="30"/>
        <v>850.92803916418484</v>
      </c>
      <c r="I182" s="271">
        <v>10</v>
      </c>
      <c r="J182" s="272">
        <f t="shared" si="31"/>
        <v>94.88465152176606</v>
      </c>
      <c r="K182" s="273">
        <f t="shared" si="32"/>
        <v>94.88465152176606</v>
      </c>
      <c r="L182" s="341">
        <f t="shared" si="25"/>
        <v>0.73773786252397577</v>
      </c>
      <c r="M182" s="274">
        <f t="shared" si="33"/>
        <v>609.18356881608076</v>
      </c>
      <c r="N182" s="274">
        <f t="shared" si="34"/>
        <v>91.377535322412101</v>
      </c>
      <c r="O182" s="341">
        <f t="shared" si="35"/>
        <v>700.56110413849285</v>
      </c>
    </row>
    <row r="183" spans="1:15" x14ac:dyDescent="0.25">
      <c r="A183" s="271">
        <v>11</v>
      </c>
      <c r="B183" s="272">
        <f t="shared" si="26"/>
        <v>78.117647058823522</v>
      </c>
      <c r="C183" s="273">
        <f t="shared" si="27"/>
        <v>78.117647058823522</v>
      </c>
      <c r="D183" s="341">
        <f t="shared" si="24"/>
        <v>0.89608433734939763</v>
      </c>
      <c r="E183" s="274">
        <f t="shared" si="28"/>
        <v>739.93742536016077</v>
      </c>
      <c r="F183" s="274">
        <f t="shared" si="29"/>
        <v>110.99061380402411</v>
      </c>
      <c r="G183" s="341">
        <f t="shared" si="30"/>
        <v>850.92803916418484</v>
      </c>
      <c r="I183" s="271">
        <v>11</v>
      </c>
      <c r="J183" s="272">
        <f t="shared" si="31"/>
        <v>94.484132243889633</v>
      </c>
      <c r="K183" s="273">
        <f t="shared" si="32"/>
        <v>94.484132243889633</v>
      </c>
      <c r="L183" s="341">
        <f t="shared" si="25"/>
        <v>0.74086514145370641</v>
      </c>
      <c r="M183" s="274">
        <f t="shared" si="33"/>
        <v>611.76590467800725</v>
      </c>
      <c r="N183" s="274">
        <f t="shared" si="34"/>
        <v>91.76488570170109</v>
      </c>
      <c r="O183" s="341">
        <f t="shared" si="35"/>
        <v>703.53079037970838</v>
      </c>
    </row>
    <row r="184" spans="1:15" x14ac:dyDescent="0.25">
      <c r="A184" s="271">
        <v>12</v>
      </c>
      <c r="B184" s="272">
        <f t="shared" si="26"/>
        <v>78.117647058823522</v>
      </c>
      <c r="C184" s="273">
        <f t="shared" si="27"/>
        <v>78.117647058823522</v>
      </c>
      <c r="D184" s="341">
        <f t="shared" si="24"/>
        <v>0.89608433734939763</v>
      </c>
      <c r="E184" s="274">
        <f t="shared" si="28"/>
        <v>739.93742536016077</v>
      </c>
      <c r="F184" s="274">
        <f t="shared" si="29"/>
        <v>110.99061380402411</v>
      </c>
      <c r="G184" s="341">
        <f t="shared" si="30"/>
        <v>850.92803916418484</v>
      </c>
      <c r="I184" s="271">
        <v>12</v>
      </c>
      <c r="J184" s="272">
        <f t="shared" si="31"/>
        <v>94.071597387676903</v>
      </c>
      <c r="K184" s="273">
        <f t="shared" si="32"/>
        <v>94.071597387676903</v>
      </c>
      <c r="L184" s="341">
        <f t="shared" si="25"/>
        <v>0.74411407846647015</v>
      </c>
      <c r="M184" s="274">
        <f t="shared" si="33"/>
        <v>614.4486991295795</v>
      </c>
      <c r="N184" s="274">
        <f t="shared" si="34"/>
        <v>92.167304869436919</v>
      </c>
      <c r="O184" s="341">
        <f t="shared" si="35"/>
        <v>706.61600399901636</v>
      </c>
    </row>
    <row r="185" spans="1:15" x14ac:dyDescent="0.25">
      <c r="A185" s="271">
        <v>13</v>
      </c>
      <c r="B185" s="272">
        <f t="shared" si="26"/>
        <v>78.117647058823522</v>
      </c>
      <c r="C185" s="273">
        <f t="shared" si="27"/>
        <v>78.117647058823522</v>
      </c>
      <c r="D185" s="341">
        <f t="shared" si="24"/>
        <v>0.89608433734939763</v>
      </c>
      <c r="E185" s="274">
        <f t="shared" si="28"/>
        <v>739.93742536016077</v>
      </c>
      <c r="F185" s="274">
        <f t="shared" si="29"/>
        <v>110.99061380402411</v>
      </c>
      <c r="G185" s="341">
        <f t="shared" si="30"/>
        <v>850.92803916418484</v>
      </c>
      <c r="I185" s="271">
        <v>13</v>
      </c>
      <c r="J185" s="272">
        <f t="shared" si="31"/>
        <v>93.646686485777806</v>
      </c>
      <c r="K185" s="273">
        <f t="shared" si="32"/>
        <v>93.646686485777806</v>
      </c>
      <c r="L185" s="341">
        <f t="shared" si="25"/>
        <v>0.7474904091842155</v>
      </c>
      <c r="M185" s="274">
        <f t="shared" si="33"/>
        <v>617.23668833363456</v>
      </c>
      <c r="N185" s="274">
        <f t="shared" si="34"/>
        <v>92.585503250045178</v>
      </c>
      <c r="O185" s="341">
        <f t="shared" si="35"/>
        <v>709.8221915836798</v>
      </c>
    </row>
    <row r="186" spans="1:15" x14ac:dyDescent="0.25">
      <c r="A186" s="271">
        <v>14</v>
      </c>
      <c r="B186" s="272">
        <f t="shared" si="26"/>
        <v>75.294117647058826</v>
      </c>
      <c r="C186" s="273">
        <f t="shared" si="27"/>
        <v>75.294117647058826</v>
      </c>
      <c r="D186" s="341">
        <f t="shared" si="24"/>
        <v>0.9296875</v>
      </c>
      <c r="E186" s="274">
        <f t="shared" si="28"/>
        <v>767.68507881116693</v>
      </c>
      <c r="F186" s="274">
        <f t="shared" si="29"/>
        <v>115.15276182167503</v>
      </c>
      <c r="G186" s="341">
        <f t="shared" si="30"/>
        <v>882.83784063284202</v>
      </c>
      <c r="I186" s="271">
        <v>14</v>
      </c>
      <c r="J186" s="272">
        <f t="shared" si="31"/>
        <v>93.209028256821725</v>
      </c>
      <c r="K186" s="273">
        <f t="shared" si="32"/>
        <v>93.209028256821725</v>
      </c>
      <c r="L186" s="341">
        <f t="shared" si="25"/>
        <v>0.75100021220183555</v>
      </c>
      <c r="M186" s="274">
        <f t="shared" si="33"/>
        <v>620.13489166130466</v>
      </c>
      <c r="N186" s="274">
        <f t="shared" si="34"/>
        <v>93.020233749195697</v>
      </c>
      <c r="O186" s="341">
        <f t="shared" si="35"/>
        <v>713.15512541050032</v>
      </c>
    </row>
    <row r="187" spans="1:15" x14ac:dyDescent="0.25">
      <c r="A187" s="271">
        <v>15</v>
      </c>
      <c r="B187" s="272">
        <f t="shared" si="26"/>
        <v>75.294117647058826</v>
      </c>
      <c r="C187" s="273">
        <f t="shared" si="27"/>
        <v>75.294117647058826</v>
      </c>
      <c r="D187" s="341">
        <f t="shared" si="24"/>
        <v>0.9296875</v>
      </c>
      <c r="E187" s="274">
        <f t="shared" si="28"/>
        <v>767.68507881116693</v>
      </c>
      <c r="F187" s="274">
        <f t="shared" si="29"/>
        <v>115.15276182167503</v>
      </c>
      <c r="G187" s="341">
        <f t="shared" si="30"/>
        <v>882.83784063284202</v>
      </c>
      <c r="I187" s="271">
        <v>15</v>
      </c>
      <c r="J187" s="272">
        <f t="shared" si="31"/>
        <v>92.758240280996972</v>
      </c>
      <c r="K187" s="273">
        <f t="shared" si="32"/>
        <v>92.758240280996972</v>
      </c>
      <c r="L187" s="341">
        <f t="shared" si="25"/>
        <v>0.75464993501327382</v>
      </c>
      <c r="M187" s="274">
        <f t="shared" si="33"/>
        <v>623.14863310037731</v>
      </c>
      <c r="N187" s="274">
        <f t="shared" si="34"/>
        <v>93.472294965056591</v>
      </c>
      <c r="O187" s="341">
        <f t="shared" si="35"/>
        <v>716.62092806543387</v>
      </c>
    </row>
    <row r="188" spans="1:15" x14ac:dyDescent="0.25">
      <c r="A188" s="271">
        <v>16</v>
      </c>
      <c r="B188" s="272">
        <f t="shared" si="26"/>
        <v>75.294117647058826</v>
      </c>
      <c r="C188" s="273">
        <f t="shared" si="27"/>
        <v>75.294117647058826</v>
      </c>
      <c r="D188" s="341">
        <f t="shared" si="24"/>
        <v>0.9296875</v>
      </c>
      <c r="E188" s="274">
        <f t="shared" si="28"/>
        <v>767.68507881116693</v>
      </c>
      <c r="F188" s="274">
        <f t="shared" si="29"/>
        <v>115.15276182167503</v>
      </c>
      <c r="G188" s="341">
        <f t="shared" si="30"/>
        <v>882.83784063284202</v>
      </c>
      <c r="I188" s="271">
        <v>16</v>
      </c>
      <c r="J188" s="272">
        <f t="shared" si="31"/>
        <v>92.467204377329523</v>
      </c>
      <c r="K188" s="273">
        <f t="shared" si="32"/>
        <v>92.467204377329523</v>
      </c>
      <c r="L188" s="341">
        <f t="shared" si="25"/>
        <v>0.7570251579614331</v>
      </c>
      <c r="M188" s="274">
        <f t="shared" si="33"/>
        <v>625.10996227405315</v>
      </c>
      <c r="N188" s="274">
        <f t="shared" si="34"/>
        <v>93.766494341107972</v>
      </c>
      <c r="O188" s="341">
        <f t="shared" si="35"/>
        <v>718.87645661516115</v>
      </c>
    </row>
    <row r="189" spans="1:15" x14ac:dyDescent="0.25">
      <c r="A189" s="271">
        <v>17</v>
      </c>
      <c r="B189" s="272">
        <f t="shared" si="26"/>
        <v>75.294117647058826</v>
      </c>
      <c r="C189" s="273">
        <f t="shared" si="27"/>
        <v>75.294117647058826</v>
      </c>
      <c r="D189" s="341">
        <f t="shared" si="24"/>
        <v>0.9296875</v>
      </c>
      <c r="E189" s="274">
        <f t="shared" si="28"/>
        <v>767.68507881116693</v>
      </c>
      <c r="F189" s="274">
        <f t="shared" si="29"/>
        <v>115.15276182167503</v>
      </c>
      <c r="G189" s="341">
        <f t="shared" si="30"/>
        <v>882.83784063284202</v>
      </c>
      <c r="I189" s="271">
        <v>17</v>
      </c>
      <c r="J189" s="272">
        <f t="shared" si="31"/>
        <v>91.994161685120005</v>
      </c>
      <c r="K189" s="273">
        <f t="shared" si="32"/>
        <v>91.994161685120005</v>
      </c>
      <c r="L189" s="341">
        <f t="shared" si="25"/>
        <v>0.76091785302199733</v>
      </c>
      <c r="M189" s="274">
        <f t="shared" si="33"/>
        <v>628.32433690462221</v>
      </c>
      <c r="N189" s="274">
        <f t="shared" si="34"/>
        <v>94.248650535693315</v>
      </c>
      <c r="O189" s="341">
        <f t="shared" si="35"/>
        <v>722.5729874403155</v>
      </c>
    </row>
    <row r="190" spans="1:15" x14ac:dyDescent="0.25">
      <c r="A190" s="271">
        <v>18</v>
      </c>
      <c r="B190" s="272">
        <f t="shared" si="26"/>
        <v>75.294117647058826</v>
      </c>
      <c r="C190" s="273">
        <f t="shared" si="27"/>
        <v>75.294117647058826</v>
      </c>
      <c r="D190" s="341">
        <f t="shared" si="24"/>
        <v>0.9296875</v>
      </c>
      <c r="E190" s="274">
        <f t="shared" si="28"/>
        <v>767.68507881116693</v>
      </c>
      <c r="F190" s="274">
        <f t="shared" si="29"/>
        <v>115.15276182167503</v>
      </c>
      <c r="G190" s="341">
        <f t="shared" si="30"/>
        <v>882.83784063284202</v>
      </c>
      <c r="I190" s="271">
        <v>18</v>
      </c>
      <c r="J190" s="272">
        <f t="shared" si="31"/>
        <v>91.50692771214419</v>
      </c>
      <c r="K190" s="273">
        <f t="shared" si="32"/>
        <v>91.50692771214419</v>
      </c>
      <c r="L190" s="341">
        <f t="shared" si="25"/>
        <v>0.76496940450455164</v>
      </c>
      <c r="M190" s="274">
        <f t="shared" si="33"/>
        <v>631.66988647820699</v>
      </c>
      <c r="N190" s="274">
        <f t="shared" si="34"/>
        <v>94.750482971731046</v>
      </c>
      <c r="O190" s="341">
        <f t="shared" si="35"/>
        <v>726.42036944993799</v>
      </c>
    </row>
    <row r="191" spans="1:15" x14ac:dyDescent="0.25">
      <c r="A191" s="271">
        <v>19</v>
      </c>
      <c r="B191" s="272">
        <f t="shared" si="26"/>
        <v>75.294117647058826</v>
      </c>
      <c r="C191" s="273">
        <f t="shared" si="27"/>
        <v>75.294117647058826</v>
      </c>
      <c r="D191" s="341">
        <f t="shared" si="24"/>
        <v>0.9296875</v>
      </c>
      <c r="E191" s="274">
        <f t="shared" si="28"/>
        <v>767.68507881116693</v>
      </c>
      <c r="F191" s="274">
        <f t="shared" si="29"/>
        <v>115.15276182167503</v>
      </c>
      <c r="G191" s="341">
        <f t="shared" si="30"/>
        <v>882.83784063284202</v>
      </c>
      <c r="I191" s="271">
        <v>19</v>
      </c>
      <c r="J191" s="272">
        <f t="shared" si="31"/>
        <v>91.005076719979115</v>
      </c>
      <c r="K191" s="273">
        <f t="shared" si="32"/>
        <v>91.005076719979115</v>
      </c>
      <c r="L191" s="341">
        <f t="shared" si="25"/>
        <v>0.76918785767731024</v>
      </c>
      <c r="M191" s="274">
        <f t="shared" si="33"/>
        <v>635.15325433718158</v>
      </c>
      <c r="N191" s="274">
        <f t="shared" si="34"/>
        <v>95.272988150577234</v>
      </c>
      <c r="O191" s="341">
        <f t="shared" si="35"/>
        <v>730.42624248775883</v>
      </c>
    </row>
    <row r="192" spans="1:15" x14ac:dyDescent="0.25">
      <c r="A192" s="271">
        <v>20</v>
      </c>
      <c r="B192" s="272">
        <f t="shared" si="26"/>
        <v>75.294117647058826</v>
      </c>
      <c r="C192" s="273">
        <f t="shared" si="27"/>
        <v>75.294117647058826</v>
      </c>
      <c r="D192" s="341">
        <f t="shared" si="24"/>
        <v>0.9296875</v>
      </c>
      <c r="E192" s="274">
        <f t="shared" si="28"/>
        <v>767.68507881116693</v>
      </c>
      <c r="F192" s="274">
        <f t="shared" si="29"/>
        <v>115.15276182167503</v>
      </c>
      <c r="G192" s="341">
        <f t="shared" si="30"/>
        <v>882.83784063284202</v>
      </c>
      <c r="I192" s="271">
        <v>20</v>
      </c>
      <c r="J192" s="272">
        <f t="shared" si="31"/>
        <v>90.488170198049062</v>
      </c>
      <c r="K192" s="273">
        <f t="shared" si="32"/>
        <v>90.488170198049062</v>
      </c>
      <c r="L192" s="341">
        <f t="shared" si="25"/>
        <v>0.7735817825334832</v>
      </c>
      <c r="M192" s="274">
        <f t="shared" si="33"/>
        <v>638.78151711311591</v>
      </c>
      <c r="N192" s="274">
        <f t="shared" si="34"/>
        <v>95.817227566967375</v>
      </c>
      <c r="O192" s="341">
        <f t="shared" si="35"/>
        <v>734.59874468008331</v>
      </c>
    </row>
    <row r="193" spans="1:15" x14ac:dyDescent="0.25">
      <c r="A193" s="271">
        <v>21</v>
      </c>
      <c r="B193" s="272">
        <f t="shared" si="26"/>
        <v>75.294117647058826</v>
      </c>
      <c r="C193" s="273">
        <f t="shared" si="27"/>
        <v>75.294117647058826</v>
      </c>
      <c r="D193" s="341">
        <f t="shared" si="24"/>
        <v>0.9296875</v>
      </c>
      <c r="E193" s="274">
        <f t="shared" si="28"/>
        <v>767.68507881116693</v>
      </c>
      <c r="F193" s="274">
        <f t="shared" si="29"/>
        <v>115.15276182167503</v>
      </c>
      <c r="G193" s="341">
        <f t="shared" si="30"/>
        <v>882.83784063284202</v>
      </c>
      <c r="I193" s="271">
        <v>21</v>
      </c>
      <c r="J193" s="272">
        <f t="shared" si="31"/>
        <v>89.955756480461133</v>
      </c>
      <c r="K193" s="273">
        <f t="shared" si="32"/>
        <v>89.955756480461133</v>
      </c>
      <c r="L193" s="341">
        <f t="shared" si="25"/>
        <v>0.77816031723555534</v>
      </c>
      <c r="M193" s="274">
        <f t="shared" si="33"/>
        <v>642.56222060068558</v>
      </c>
      <c r="N193" s="274">
        <f t="shared" si="34"/>
        <v>96.384333090102842</v>
      </c>
      <c r="O193" s="341">
        <f t="shared" si="35"/>
        <v>738.94655369078839</v>
      </c>
    </row>
    <row r="194" spans="1:15" x14ac:dyDescent="0.25">
      <c r="A194" s="271">
        <v>22</v>
      </c>
      <c r="B194" s="272">
        <f t="shared" si="26"/>
        <v>75.294117647058826</v>
      </c>
      <c r="C194" s="273">
        <f t="shared" si="27"/>
        <v>75.294117647058826</v>
      </c>
      <c r="D194" s="341">
        <f t="shared" si="24"/>
        <v>0.9296875</v>
      </c>
      <c r="E194" s="274">
        <f t="shared" si="28"/>
        <v>767.68507881116693</v>
      </c>
      <c r="F194" s="274">
        <f t="shared" si="29"/>
        <v>115.15276182167503</v>
      </c>
      <c r="G194" s="341">
        <f t="shared" si="30"/>
        <v>882.83784063284202</v>
      </c>
      <c r="I194" s="271">
        <v>22</v>
      </c>
      <c r="J194" s="272">
        <f t="shared" si="31"/>
        <v>89.407370351345548</v>
      </c>
      <c r="K194" s="273">
        <f t="shared" si="32"/>
        <v>89.407370351345548</v>
      </c>
      <c r="L194" s="341">
        <f t="shared" si="25"/>
        <v>0.78293321596329135</v>
      </c>
      <c r="M194" s="274">
        <f t="shared" si="33"/>
        <v>646.50341926793647</v>
      </c>
      <c r="N194" s="274">
        <f t="shared" si="34"/>
        <v>96.975512890190444</v>
      </c>
      <c r="O194" s="341">
        <f t="shared" si="35"/>
        <v>743.4789321581269</v>
      </c>
    </row>
    <row r="195" spans="1:15" x14ac:dyDescent="0.25">
      <c r="A195" s="271">
        <v>23</v>
      </c>
      <c r="B195" s="272">
        <f t="shared" si="26"/>
        <v>75.294117647058826</v>
      </c>
      <c r="C195" s="273">
        <f t="shared" si="27"/>
        <v>75.294117647058826</v>
      </c>
      <c r="D195" s="341">
        <f t="shared" si="24"/>
        <v>0.9296875</v>
      </c>
      <c r="E195" s="274">
        <f t="shared" si="28"/>
        <v>767.68507881116693</v>
      </c>
      <c r="F195" s="274">
        <f t="shared" si="29"/>
        <v>115.15276182167503</v>
      </c>
      <c r="G195" s="341">
        <f t="shared" si="30"/>
        <v>882.83784063284202</v>
      </c>
      <c r="I195" s="271">
        <v>23</v>
      </c>
      <c r="J195" s="272">
        <f t="shared" si="31"/>
        <v>88.842532638356516</v>
      </c>
      <c r="K195" s="273">
        <f t="shared" si="32"/>
        <v>88.842532638356516</v>
      </c>
      <c r="L195" s="341">
        <f t="shared" si="25"/>
        <v>0.78791090169550704</v>
      </c>
      <c r="M195" s="274">
        <f t="shared" si="33"/>
        <v>650.61371984058394</v>
      </c>
      <c r="N195" s="274">
        <f t="shared" si="34"/>
        <v>97.592057976087574</v>
      </c>
      <c r="O195" s="341">
        <f t="shared" si="35"/>
        <v>748.20577781667157</v>
      </c>
    </row>
    <row r="196" spans="1:15" x14ac:dyDescent="0.25">
      <c r="A196" s="271">
        <v>24</v>
      </c>
      <c r="B196" s="272">
        <f t="shared" si="26"/>
        <v>75.294117647058826</v>
      </c>
      <c r="C196" s="273">
        <f t="shared" si="27"/>
        <v>75.294117647058826</v>
      </c>
      <c r="D196" s="341">
        <f t="shared" si="24"/>
        <v>0.9296875</v>
      </c>
      <c r="E196" s="274">
        <f t="shared" si="28"/>
        <v>767.68507881116693</v>
      </c>
      <c r="F196" s="274">
        <f t="shared" si="29"/>
        <v>115.15276182167503</v>
      </c>
      <c r="G196" s="341">
        <f t="shared" si="30"/>
        <v>882.83784063284202</v>
      </c>
      <c r="I196" s="271">
        <v>24</v>
      </c>
      <c r="J196" s="272">
        <f t="shared" si="31"/>
        <v>88.260749793977794</v>
      </c>
      <c r="K196" s="273">
        <f t="shared" si="32"/>
        <v>88.260749793977794</v>
      </c>
      <c r="L196" s="341">
        <f t="shared" si="25"/>
        <v>0.79310452452984082</v>
      </c>
      <c r="M196" s="274">
        <f t="shared" si="33"/>
        <v>654.90232945929029</v>
      </c>
      <c r="N196" s="274">
        <f t="shared" si="34"/>
        <v>98.23534941889352</v>
      </c>
      <c r="O196" s="341">
        <f t="shared" si="35"/>
        <v>753.13767887818381</v>
      </c>
    </row>
    <row r="197" spans="1:15" x14ac:dyDescent="0.25">
      <c r="A197" s="271">
        <v>25</v>
      </c>
      <c r="B197" s="272">
        <f t="shared" si="26"/>
        <v>75.294117647058826</v>
      </c>
      <c r="C197" s="273">
        <f t="shared" si="27"/>
        <v>75.294117647058826</v>
      </c>
      <c r="D197" s="341">
        <f t="shared" si="24"/>
        <v>0.9296875</v>
      </c>
      <c r="E197" s="274">
        <f t="shared" si="28"/>
        <v>767.68507881116693</v>
      </c>
      <c r="F197" s="274">
        <f t="shared" si="29"/>
        <v>115.15276182167503</v>
      </c>
      <c r="G197" s="341">
        <f t="shared" si="30"/>
        <v>882.83784063284202</v>
      </c>
      <c r="I197" s="271">
        <v>25</v>
      </c>
      <c r="J197" s="272">
        <f t="shared" si="31"/>
        <v>87.661513464267713</v>
      </c>
      <c r="K197" s="273">
        <f t="shared" si="32"/>
        <v>87.661513464267713</v>
      </c>
      <c r="L197" s="341">
        <f t="shared" si="25"/>
        <v>0.79852602623080604</v>
      </c>
      <c r="M197" s="274">
        <f t="shared" si="33"/>
        <v>659.37910897991446</v>
      </c>
      <c r="N197" s="274">
        <f t="shared" si="34"/>
        <v>98.906866346987172</v>
      </c>
      <c r="O197" s="341">
        <f t="shared" si="35"/>
        <v>758.28597532690162</v>
      </c>
    </row>
    <row r="198" spans="1:15" x14ac:dyDescent="0.25">
      <c r="A198" s="271">
        <v>26</v>
      </c>
      <c r="B198" s="272">
        <f t="shared" si="26"/>
        <v>75.294117647058826</v>
      </c>
      <c r="C198" s="273">
        <f t="shared" si="27"/>
        <v>75.294117647058826</v>
      </c>
      <c r="D198" s="341">
        <f t="shared" si="24"/>
        <v>0.9296875</v>
      </c>
      <c r="E198" s="274">
        <f t="shared" si="28"/>
        <v>767.68507881116693</v>
      </c>
      <c r="F198" s="274">
        <f t="shared" si="29"/>
        <v>115.15276182167503</v>
      </c>
      <c r="G198" s="341">
        <f t="shared" si="30"/>
        <v>882.83784063284202</v>
      </c>
      <c r="I198" s="271">
        <v>26</v>
      </c>
      <c r="J198" s="272">
        <f t="shared" si="31"/>
        <v>87.272160195988704</v>
      </c>
      <c r="K198" s="273">
        <f t="shared" si="32"/>
        <v>87.272160195988704</v>
      </c>
      <c r="L198" s="341">
        <f t="shared" si="25"/>
        <v>0.80208854510762317</v>
      </c>
      <c r="M198" s="274">
        <f t="shared" si="33"/>
        <v>662.32084218028081</v>
      </c>
      <c r="N198" s="274">
        <f t="shared" si="34"/>
        <v>99.34812632704211</v>
      </c>
      <c r="O198" s="341">
        <f t="shared" si="35"/>
        <v>761.66896850732292</v>
      </c>
    </row>
    <row r="199" spans="1:15" x14ac:dyDescent="0.25">
      <c r="A199" s="271">
        <v>27</v>
      </c>
      <c r="B199" s="272">
        <f t="shared" si="26"/>
        <v>75.294117647058826</v>
      </c>
      <c r="C199" s="273">
        <f t="shared" si="27"/>
        <v>75.294117647058826</v>
      </c>
      <c r="D199" s="341">
        <f t="shared" si="24"/>
        <v>0.9296875</v>
      </c>
      <c r="E199" s="274">
        <f t="shared" si="28"/>
        <v>767.68507881116693</v>
      </c>
      <c r="F199" s="274">
        <f t="shared" si="29"/>
        <v>115.15276182167503</v>
      </c>
      <c r="G199" s="341">
        <f t="shared" si="30"/>
        <v>882.83784063284202</v>
      </c>
      <c r="I199" s="271">
        <v>27</v>
      </c>
      <c r="J199" s="272">
        <f t="shared" si="31"/>
        <v>86.643266178338962</v>
      </c>
      <c r="K199" s="273">
        <f t="shared" si="32"/>
        <v>86.643266178338962</v>
      </c>
      <c r="L199" s="341">
        <f t="shared" si="25"/>
        <v>0.8079104480654975</v>
      </c>
      <c r="M199" s="274">
        <f t="shared" si="33"/>
        <v>667.12825115485214</v>
      </c>
      <c r="N199" s="274">
        <f t="shared" si="34"/>
        <v>100.0692376732278</v>
      </c>
      <c r="O199" s="341">
        <f t="shared" si="35"/>
        <v>767.19748882807994</v>
      </c>
    </row>
    <row r="200" spans="1:15" x14ac:dyDescent="0.25">
      <c r="A200" s="271">
        <v>28</v>
      </c>
      <c r="B200" s="272">
        <f t="shared" si="26"/>
        <v>75.294117647058826</v>
      </c>
      <c r="C200" s="273">
        <f t="shared" si="27"/>
        <v>75.294117647058826</v>
      </c>
      <c r="D200" s="341">
        <f t="shared" si="24"/>
        <v>0.9296875</v>
      </c>
      <c r="E200" s="274">
        <f t="shared" si="28"/>
        <v>767.68507881116693</v>
      </c>
      <c r="F200" s="274">
        <f t="shared" si="29"/>
        <v>115.15276182167503</v>
      </c>
      <c r="G200" s="341">
        <f t="shared" si="30"/>
        <v>882.83784063284202</v>
      </c>
      <c r="I200" s="271">
        <v>28</v>
      </c>
      <c r="J200" s="272">
        <f>J46*$D$166</f>
        <v>85.99550534015971</v>
      </c>
      <c r="K200" s="273">
        <f t="shared" si="32"/>
        <v>85.99550534015971</v>
      </c>
      <c r="L200" s="341">
        <f t="shared" si="25"/>
        <v>0.81399603064266379</v>
      </c>
      <c r="M200" s="274">
        <f t="shared" si="33"/>
        <v>672.15339233440307</v>
      </c>
      <c r="N200" s="274">
        <f t="shared" si="34"/>
        <v>100.82300885016046</v>
      </c>
      <c r="O200" s="341">
        <f t="shared" si="35"/>
        <v>772.97640118456354</v>
      </c>
    </row>
    <row r="201" spans="1:15" x14ac:dyDescent="0.25">
      <c r="A201" s="271">
        <v>29</v>
      </c>
      <c r="B201" s="272">
        <f t="shared" si="26"/>
        <v>75.294117647058826</v>
      </c>
      <c r="C201" s="273">
        <f t="shared" si="27"/>
        <v>75.294117647058826</v>
      </c>
      <c r="D201" s="341">
        <f t="shared" si="24"/>
        <v>0.9296875</v>
      </c>
      <c r="E201" s="274">
        <f t="shared" si="28"/>
        <v>767.68507881116693</v>
      </c>
      <c r="F201" s="274">
        <f t="shared" si="29"/>
        <v>115.15276182167503</v>
      </c>
      <c r="G201" s="341">
        <f t="shared" si="30"/>
        <v>882.83784063284202</v>
      </c>
      <c r="I201" s="271">
        <v>29</v>
      </c>
      <c r="J201" s="272">
        <f t="shared" si="31"/>
        <v>85.328311676835099</v>
      </c>
      <c r="K201" s="273">
        <f t="shared" si="32"/>
        <v>85.328311676835099</v>
      </c>
      <c r="L201" s="341">
        <f t="shared" si="25"/>
        <v>0.82036077621120418</v>
      </c>
      <c r="M201" s="274">
        <f t="shared" si="33"/>
        <v>677.40905104057902</v>
      </c>
      <c r="N201" s="274">
        <f t="shared" si="34"/>
        <v>101.61135765608684</v>
      </c>
      <c r="O201" s="341">
        <f t="shared" si="35"/>
        <v>779.02040869666587</v>
      </c>
    </row>
    <row r="202" spans="1:15" x14ac:dyDescent="0.25">
      <c r="A202" s="271">
        <v>30</v>
      </c>
      <c r="B202" s="272">
        <f t="shared" si="26"/>
        <v>75.294117647058826</v>
      </c>
      <c r="C202" s="273">
        <f t="shared" si="27"/>
        <v>75.294117647058826</v>
      </c>
      <c r="D202" s="341">
        <f t="shared" si="24"/>
        <v>0.9296875</v>
      </c>
      <c r="E202" s="274">
        <f t="shared" si="28"/>
        <v>767.68507881116693</v>
      </c>
      <c r="F202" s="274">
        <f t="shared" si="29"/>
        <v>115.15276182167503</v>
      </c>
      <c r="G202" s="341">
        <f t="shared" si="30"/>
        <v>882.83784063284202</v>
      </c>
      <c r="I202" s="271">
        <v>30</v>
      </c>
      <c r="J202" s="272">
        <f t="shared" si="31"/>
        <v>84.641102203610743</v>
      </c>
      <c r="K202" s="273">
        <f t="shared" si="32"/>
        <v>84.641102203610743</v>
      </c>
      <c r="L202" s="341">
        <f t="shared" si="25"/>
        <v>0.82702136642324864</v>
      </c>
      <c r="M202" s="274">
        <f t="shared" si="33"/>
        <v>682.9090020691367</v>
      </c>
      <c r="N202" s="274">
        <f t="shared" si="34"/>
        <v>102.4363503103705</v>
      </c>
      <c r="O202" s="341">
        <f t="shared" si="35"/>
        <v>785.34535237950718</v>
      </c>
    </row>
    <row r="203" spans="1:15" x14ac:dyDescent="0.25">
      <c r="A203" s="271">
        <v>31</v>
      </c>
      <c r="B203" s="272">
        <f>B49*$D$166</f>
        <v>75.294117647058826</v>
      </c>
      <c r="C203" s="273">
        <f>IF(B203&lt;=60,60,B203)</f>
        <v>75.294117647058826</v>
      </c>
      <c r="D203" s="341">
        <f>$B$16/C203</f>
        <v>0.9296875</v>
      </c>
      <c r="E203" s="274">
        <f>(D203*$F$2*$J$2*$J$6)</f>
        <v>767.68507881116693</v>
      </c>
      <c r="F203" s="274">
        <f>(D203*$F$4*$J$3*$J$6)</f>
        <v>115.15276182167503</v>
      </c>
      <c r="G203" s="341">
        <f>E203+F203</f>
        <v>882.83784063284202</v>
      </c>
      <c r="I203" s="271">
        <v>31</v>
      </c>
      <c r="J203" s="272">
        <f t="shared" si="31"/>
        <v>83.933276446189637</v>
      </c>
      <c r="K203" s="273">
        <f>IF(J203&lt;=60,60,J203)</f>
        <v>83.933276446189637</v>
      </c>
      <c r="L203" s="341">
        <f>$J$16/K203</f>
        <v>0.83399579956678582</v>
      </c>
      <c r="M203" s="274">
        <f>(L203*$F$2*$J$2*$J$6)</f>
        <v>688.66810742169832</v>
      </c>
      <c r="N203" s="274">
        <f>(L203*$F$4*$J$3*$J$6)</f>
        <v>103.30021611325473</v>
      </c>
      <c r="O203" s="341">
        <f>M203+N203</f>
        <v>791.96832353495302</v>
      </c>
    </row>
    <row r="204" spans="1:15" x14ac:dyDescent="0.25">
      <c r="A204" s="271">
        <v>32</v>
      </c>
      <c r="B204" s="272">
        <f t="shared" si="26"/>
        <v>75.294117647058826</v>
      </c>
      <c r="C204" s="273">
        <f>IF(B204&lt;=60,60,B204)</f>
        <v>75.294117647058826</v>
      </c>
      <c r="D204" s="341">
        <f>$B$16/C204</f>
        <v>0.9296875</v>
      </c>
      <c r="E204" s="274">
        <f>(D204*$F$2*$J$2*$J$6)</f>
        <v>767.68507881116693</v>
      </c>
      <c r="F204" s="274">
        <f>(D204*$F$4*$J$3*$J$6)</f>
        <v>115.15276182167503</v>
      </c>
      <c r="G204" s="341">
        <f>E204+F204</f>
        <v>882.83784063284202</v>
      </c>
      <c r="I204" s="271">
        <v>32</v>
      </c>
      <c r="J204" s="272">
        <f t="shared" si="31"/>
        <v>83.204215916045925</v>
      </c>
      <c r="K204" s="273">
        <f>IF(J204&lt;=60,60,J204)</f>
        <v>83.204215916045925</v>
      </c>
      <c r="L204" s="341">
        <f>$J$16/K204</f>
        <v>0.84130352325693281</v>
      </c>
      <c r="M204" s="274">
        <f>(L204*$F$2*$J$2*$J$6)</f>
        <v>694.70242587494272</v>
      </c>
      <c r="N204" s="274">
        <f>(L204*$F$4*$J$3*$J$6)</f>
        <v>104.20536388124141</v>
      </c>
      <c r="O204" s="341">
        <f>M204+N204</f>
        <v>798.90778975618412</v>
      </c>
    </row>
    <row r="205" spans="1:15" x14ac:dyDescent="0.25">
      <c r="A205" t="s">
        <v>226</v>
      </c>
      <c r="G205" s="344"/>
      <c r="H205" s="344"/>
      <c r="I205" s="344"/>
      <c r="J205" s="344"/>
      <c r="K205" s="344"/>
      <c r="L205" s="344"/>
      <c r="M205" s="344"/>
      <c r="N205" s="344"/>
    </row>
    <row r="206" spans="1:15" x14ac:dyDescent="0.25">
      <c r="A206" s="340"/>
      <c r="B206" s="340"/>
      <c r="C206" t="s">
        <v>337</v>
      </c>
      <c r="G206" s="351"/>
      <c r="H206" s="351"/>
      <c r="I206" s="346"/>
      <c r="J206" s="346"/>
      <c r="K206" s="346"/>
      <c r="L206" s="346"/>
      <c r="M206" s="346"/>
      <c r="N206" s="346"/>
    </row>
    <row r="207" spans="1:15" x14ac:dyDescent="0.25">
      <c r="A207" s="106" t="s">
        <v>247</v>
      </c>
      <c r="B207" s="107">
        <f>B170</f>
        <v>70</v>
      </c>
      <c r="C207" s="152"/>
      <c r="D207" s="152"/>
      <c r="E207" s="152"/>
      <c r="F207" s="152"/>
      <c r="G207" s="351"/>
      <c r="H207" s="351"/>
      <c r="I207" s="346"/>
      <c r="J207" s="346"/>
      <c r="K207" s="346"/>
      <c r="L207" s="346"/>
      <c r="M207" s="346"/>
      <c r="N207" s="346"/>
    </row>
    <row r="208" spans="1:15" ht="25.5" x14ac:dyDescent="0.25">
      <c r="A208" s="35" t="s">
        <v>18</v>
      </c>
      <c r="B208" s="95" t="s">
        <v>20</v>
      </c>
      <c r="C208" s="270" t="s">
        <v>331</v>
      </c>
      <c r="D208" s="270" t="s">
        <v>332</v>
      </c>
      <c r="E208" s="270" t="s">
        <v>333</v>
      </c>
      <c r="F208" s="270" t="s">
        <v>334</v>
      </c>
      <c r="G208" s="270" t="s">
        <v>53</v>
      </c>
      <c r="H208" s="351"/>
      <c r="I208" s="346"/>
      <c r="J208" s="346"/>
      <c r="K208" s="346"/>
      <c r="L208" s="346"/>
      <c r="M208" s="346"/>
      <c r="N208" s="346"/>
    </row>
    <row r="209" spans="1:14" x14ac:dyDescent="0.25">
      <c r="A209" s="271">
        <v>0</v>
      </c>
      <c r="B209" s="272">
        <f>B55*$D$166</f>
        <v>75.294117647058826</v>
      </c>
      <c r="C209" s="273">
        <f>IF(B209&lt;=60,60,B209)</f>
        <v>75.294117647058826</v>
      </c>
      <c r="D209" s="341">
        <f>$B$53/C209</f>
        <v>0.9296875</v>
      </c>
      <c r="E209" s="274">
        <f>(D209*$F$2*$J$2*$J$6)</f>
        <v>767.68507881116693</v>
      </c>
      <c r="F209" s="274">
        <f>(D209*$F$4*$J$3*$J$6)</f>
        <v>115.15276182167503</v>
      </c>
      <c r="G209" s="341">
        <f>E209+F209</f>
        <v>882.83784063284202</v>
      </c>
      <c r="H209" s="351"/>
      <c r="I209" s="346"/>
      <c r="J209" s="346"/>
      <c r="K209" s="346"/>
      <c r="L209" s="346"/>
      <c r="M209" s="346"/>
      <c r="N209" s="346"/>
    </row>
    <row r="210" spans="1:14" x14ac:dyDescent="0.25">
      <c r="A210" s="271">
        <v>1</v>
      </c>
      <c r="B210" s="272">
        <f t="shared" ref="B210:B241" si="36">B56*$D$166</f>
        <v>75.294117647058826</v>
      </c>
      <c r="C210" s="273">
        <f t="shared" ref="C210:C239" si="37">IF(B210&lt;=60,60,B210)</f>
        <v>75.294117647058826</v>
      </c>
      <c r="D210" s="341">
        <f t="shared" ref="D210:D239" si="38">$B$53/C210</f>
        <v>0.9296875</v>
      </c>
      <c r="E210" s="274">
        <f t="shared" ref="E210:E239" si="39">(D210*$F$2*$J$2*$J$6)</f>
        <v>767.68507881116693</v>
      </c>
      <c r="F210" s="274">
        <f t="shared" ref="F210:F239" si="40">(D210*$F$4*$J$3*$J$6)</f>
        <v>115.15276182167503</v>
      </c>
      <c r="G210" s="341">
        <f t="shared" ref="G210:G239" si="41">E210+F210</f>
        <v>882.83784063284202</v>
      </c>
      <c r="H210" s="351"/>
      <c r="I210" s="346"/>
      <c r="J210" s="346"/>
      <c r="K210" s="346"/>
      <c r="L210" s="346"/>
      <c r="M210" s="346"/>
      <c r="N210" s="346"/>
    </row>
    <row r="211" spans="1:14" x14ac:dyDescent="0.25">
      <c r="A211" s="271">
        <v>2</v>
      </c>
      <c r="B211" s="272">
        <f t="shared" si="36"/>
        <v>75.294117647058826</v>
      </c>
      <c r="C211" s="273">
        <f t="shared" si="37"/>
        <v>75.294117647058826</v>
      </c>
      <c r="D211" s="341">
        <f t="shared" si="38"/>
        <v>0.9296875</v>
      </c>
      <c r="E211" s="274">
        <f t="shared" si="39"/>
        <v>767.68507881116693</v>
      </c>
      <c r="F211" s="274">
        <f t="shared" si="40"/>
        <v>115.15276182167503</v>
      </c>
      <c r="G211" s="341">
        <f t="shared" si="41"/>
        <v>882.83784063284202</v>
      </c>
      <c r="H211" s="351"/>
      <c r="I211" s="346"/>
      <c r="J211" s="346"/>
      <c r="K211" s="346"/>
      <c r="L211" s="346"/>
      <c r="M211" s="346"/>
      <c r="N211" s="346"/>
    </row>
    <row r="212" spans="1:14" x14ac:dyDescent="0.25">
      <c r="A212" s="271">
        <v>3</v>
      </c>
      <c r="B212" s="272">
        <f t="shared" si="36"/>
        <v>75.294117647058826</v>
      </c>
      <c r="C212" s="273">
        <f t="shared" si="37"/>
        <v>75.294117647058826</v>
      </c>
      <c r="D212" s="341">
        <f t="shared" si="38"/>
        <v>0.9296875</v>
      </c>
      <c r="E212" s="274">
        <f t="shared" si="39"/>
        <v>767.68507881116693</v>
      </c>
      <c r="F212" s="274">
        <f t="shared" si="40"/>
        <v>115.15276182167503</v>
      </c>
      <c r="G212" s="341">
        <f t="shared" si="41"/>
        <v>882.83784063284202</v>
      </c>
      <c r="H212" s="351"/>
      <c r="I212" s="346"/>
      <c r="J212" s="346"/>
      <c r="K212" s="346"/>
      <c r="L212" s="346"/>
      <c r="M212" s="346"/>
      <c r="N212" s="346"/>
    </row>
    <row r="213" spans="1:14" x14ac:dyDescent="0.25">
      <c r="A213" s="271">
        <v>4</v>
      </c>
      <c r="B213" s="272">
        <f t="shared" si="36"/>
        <v>75.294117647058826</v>
      </c>
      <c r="C213" s="273">
        <f t="shared" si="37"/>
        <v>75.294117647058826</v>
      </c>
      <c r="D213" s="341">
        <f t="shared" si="38"/>
        <v>0.9296875</v>
      </c>
      <c r="E213" s="274">
        <f t="shared" si="39"/>
        <v>767.68507881116693</v>
      </c>
      <c r="F213" s="274">
        <f t="shared" si="40"/>
        <v>115.15276182167503</v>
      </c>
      <c r="G213" s="341">
        <f t="shared" si="41"/>
        <v>882.83784063284202</v>
      </c>
      <c r="H213" s="351"/>
      <c r="I213" s="346"/>
      <c r="J213" s="346"/>
      <c r="K213" s="346"/>
      <c r="L213" s="346"/>
      <c r="M213" s="346"/>
      <c r="N213" s="346"/>
    </row>
    <row r="214" spans="1:14" x14ac:dyDescent="0.25">
      <c r="A214" s="271">
        <v>5</v>
      </c>
      <c r="B214" s="272">
        <f t="shared" si="36"/>
        <v>75.294117647058826</v>
      </c>
      <c r="C214" s="273">
        <f t="shared" si="37"/>
        <v>75.294117647058826</v>
      </c>
      <c r="D214" s="341">
        <f t="shared" si="38"/>
        <v>0.9296875</v>
      </c>
      <c r="E214" s="274">
        <f t="shared" si="39"/>
        <v>767.68507881116693</v>
      </c>
      <c r="F214" s="274">
        <f t="shared" si="40"/>
        <v>115.15276182167503</v>
      </c>
      <c r="G214" s="341">
        <f t="shared" si="41"/>
        <v>882.83784063284202</v>
      </c>
      <c r="H214" s="351"/>
      <c r="I214" s="346"/>
      <c r="J214" s="346"/>
      <c r="K214" s="346"/>
      <c r="L214" s="346"/>
      <c r="M214" s="346"/>
      <c r="N214" s="346"/>
    </row>
    <row r="215" spans="1:14" x14ac:dyDescent="0.25">
      <c r="A215" s="271">
        <v>6</v>
      </c>
      <c r="B215" s="272">
        <f t="shared" si="36"/>
        <v>75.294117647058826</v>
      </c>
      <c r="C215" s="273">
        <f t="shared" si="37"/>
        <v>75.294117647058826</v>
      </c>
      <c r="D215" s="341">
        <f t="shared" si="38"/>
        <v>0.9296875</v>
      </c>
      <c r="E215" s="274">
        <f t="shared" si="39"/>
        <v>767.68507881116693</v>
      </c>
      <c r="F215" s="274">
        <f t="shared" si="40"/>
        <v>115.15276182167503</v>
      </c>
      <c r="G215" s="341">
        <f t="shared" si="41"/>
        <v>882.83784063284202</v>
      </c>
      <c r="H215" s="351"/>
      <c r="I215" s="346"/>
      <c r="J215" s="346"/>
      <c r="K215" s="346"/>
      <c r="L215" s="346"/>
      <c r="M215" s="346"/>
      <c r="N215" s="346"/>
    </row>
    <row r="216" spans="1:14" x14ac:dyDescent="0.25">
      <c r="A216" s="271">
        <v>7</v>
      </c>
      <c r="B216" s="272">
        <f t="shared" si="36"/>
        <v>75.294117647058826</v>
      </c>
      <c r="C216" s="273">
        <f t="shared" si="37"/>
        <v>75.294117647058826</v>
      </c>
      <c r="D216" s="341">
        <f t="shared" si="38"/>
        <v>0.9296875</v>
      </c>
      <c r="E216" s="274">
        <f t="shared" si="39"/>
        <v>767.68507881116693</v>
      </c>
      <c r="F216" s="274">
        <f t="shared" si="40"/>
        <v>115.15276182167503</v>
      </c>
      <c r="G216" s="341">
        <f t="shared" si="41"/>
        <v>882.83784063284202</v>
      </c>
      <c r="H216" s="351"/>
      <c r="I216" s="346"/>
      <c r="J216" s="346"/>
      <c r="K216" s="346"/>
      <c r="L216" s="346"/>
      <c r="M216" s="346"/>
      <c r="N216" s="346"/>
    </row>
    <row r="217" spans="1:14" x14ac:dyDescent="0.25">
      <c r="A217" s="271">
        <v>8</v>
      </c>
      <c r="B217" s="272">
        <f t="shared" si="36"/>
        <v>75.294117647058826</v>
      </c>
      <c r="C217" s="273">
        <f t="shared" si="37"/>
        <v>75.294117647058826</v>
      </c>
      <c r="D217" s="341">
        <f t="shared" si="38"/>
        <v>0.9296875</v>
      </c>
      <c r="E217" s="274">
        <f t="shared" si="39"/>
        <v>767.68507881116693</v>
      </c>
      <c r="F217" s="274">
        <f t="shared" si="40"/>
        <v>115.15276182167503</v>
      </c>
      <c r="G217" s="341">
        <f t="shared" si="41"/>
        <v>882.83784063284202</v>
      </c>
      <c r="H217" s="351"/>
      <c r="I217" s="346"/>
      <c r="J217" s="346"/>
      <c r="K217" s="346"/>
      <c r="L217" s="346"/>
      <c r="M217" s="346"/>
      <c r="N217" s="346"/>
    </row>
    <row r="218" spans="1:14" x14ac:dyDescent="0.25">
      <c r="A218" s="271">
        <v>9</v>
      </c>
      <c r="B218" s="272">
        <f t="shared" si="36"/>
        <v>75.294117647058826</v>
      </c>
      <c r="C218" s="273">
        <f t="shared" si="37"/>
        <v>75.294117647058826</v>
      </c>
      <c r="D218" s="341">
        <f t="shared" si="38"/>
        <v>0.9296875</v>
      </c>
      <c r="E218" s="274">
        <f t="shared" si="39"/>
        <v>767.68507881116693</v>
      </c>
      <c r="F218" s="274">
        <f t="shared" si="40"/>
        <v>115.15276182167503</v>
      </c>
      <c r="G218" s="341">
        <f t="shared" si="41"/>
        <v>882.83784063284202</v>
      </c>
      <c r="H218" s="351"/>
      <c r="I218" s="346"/>
      <c r="J218" s="346"/>
      <c r="K218" s="346"/>
      <c r="L218" s="346"/>
      <c r="M218" s="346"/>
      <c r="N218" s="346"/>
    </row>
    <row r="219" spans="1:14" x14ac:dyDescent="0.25">
      <c r="A219" s="271">
        <v>10</v>
      </c>
      <c r="B219" s="272">
        <f t="shared" si="36"/>
        <v>75.294117647058826</v>
      </c>
      <c r="C219" s="273">
        <f t="shared" si="37"/>
        <v>75.294117647058826</v>
      </c>
      <c r="D219" s="341">
        <f t="shared" si="38"/>
        <v>0.9296875</v>
      </c>
      <c r="E219" s="274">
        <f t="shared" si="39"/>
        <v>767.68507881116693</v>
      </c>
      <c r="F219" s="274">
        <f t="shared" si="40"/>
        <v>115.15276182167503</v>
      </c>
      <c r="G219" s="341">
        <f t="shared" si="41"/>
        <v>882.83784063284202</v>
      </c>
      <c r="H219" s="351"/>
      <c r="I219" s="346"/>
      <c r="J219" s="346"/>
      <c r="K219" s="346"/>
      <c r="L219" s="346"/>
      <c r="M219" s="346"/>
      <c r="N219" s="346"/>
    </row>
    <row r="220" spans="1:14" x14ac:dyDescent="0.25">
      <c r="A220" s="271">
        <v>11</v>
      </c>
      <c r="B220" s="272">
        <f t="shared" si="36"/>
        <v>75.294117647058826</v>
      </c>
      <c r="C220" s="273">
        <f t="shared" si="37"/>
        <v>75.294117647058826</v>
      </c>
      <c r="D220" s="341">
        <f t="shared" si="38"/>
        <v>0.9296875</v>
      </c>
      <c r="E220" s="274">
        <f t="shared" si="39"/>
        <v>767.68507881116693</v>
      </c>
      <c r="F220" s="274">
        <f t="shared" si="40"/>
        <v>115.15276182167503</v>
      </c>
      <c r="G220" s="341">
        <f t="shared" si="41"/>
        <v>882.83784063284202</v>
      </c>
      <c r="H220" s="351"/>
      <c r="I220" s="346"/>
      <c r="J220" s="346"/>
      <c r="K220" s="346"/>
      <c r="L220" s="346"/>
      <c r="M220" s="346"/>
      <c r="N220" s="346"/>
    </row>
    <row r="221" spans="1:14" x14ac:dyDescent="0.25">
      <c r="A221" s="271">
        <v>12</v>
      </c>
      <c r="B221" s="272">
        <f t="shared" si="36"/>
        <v>67.764705882352942</v>
      </c>
      <c r="C221" s="273">
        <f t="shared" si="37"/>
        <v>67.764705882352942</v>
      </c>
      <c r="D221" s="341">
        <f t="shared" si="38"/>
        <v>1.0329861111111112</v>
      </c>
      <c r="E221" s="274">
        <f t="shared" si="39"/>
        <v>852.98342090129654</v>
      </c>
      <c r="F221" s="274">
        <f t="shared" si="40"/>
        <v>127.94751313519447</v>
      </c>
      <c r="G221" s="341">
        <f t="shared" si="41"/>
        <v>980.93093403649095</v>
      </c>
      <c r="H221" s="351"/>
      <c r="I221" s="346"/>
      <c r="J221" s="346"/>
      <c r="K221" s="346"/>
      <c r="L221" s="346"/>
      <c r="M221" s="346"/>
      <c r="N221" s="346"/>
    </row>
    <row r="222" spans="1:14" x14ac:dyDescent="0.25">
      <c r="A222" s="271">
        <v>13</v>
      </c>
      <c r="B222" s="272">
        <f t="shared" si="36"/>
        <v>67.764705882352942</v>
      </c>
      <c r="C222" s="273">
        <f t="shared" si="37"/>
        <v>67.764705882352942</v>
      </c>
      <c r="D222" s="341">
        <f t="shared" si="38"/>
        <v>1.0329861111111112</v>
      </c>
      <c r="E222" s="274">
        <f t="shared" si="39"/>
        <v>852.98342090129654</v>
      </c>
      <c r="F222" s="274">
        <f t="shared" si="40"/>
        <v>127.94751313519447</v>
      </c>
      <c r="G222" s="341">
        <f t="shared" si="41"/>
        <v>980.93093403649095</v>
      </c>
      <c r="H222" s="351"/>
      <c r="I222" s="346"/>
      <c r="J222" s="346"/>
      <c r="K222" s="346"/>
      <c r="L222" s="346"/>
      <c r="M222" s="346"/>
      <c r="N222" s="346"/>
    </row>
    <row r="223" spans="1:14" x14ac:dyDescent="0.25">
      <c r="A223" s="271">
        <v>14</v>
      </c>
      <c r="B223" s="272">
        <f t="shared" si="36"/>
        <v>67.764705882352942</v>
      </c>
      <c r="C223" s="273">
        <f t="shared" si="37"/>
        <v>67.764705882352942</v>
      </c>
      <c r="D223" s="341">
        <f t="shared" si="38"/>
        <v>1.0329861111111112</v>
      </c>
      <c r="E223" s="274">
        <f t="shared" si="39"/>
        <v>852.98342090129654</v>
      </c>
      <c r="F223" s="274">
        <f t="shared" si="40"/>
        <v>127.94751313519447</v>
      </c>
      <c r="G223" s="341">
        <f t="shared" si="41"/>
        <v>980.93093403649095</v>
      </c>
      <c r="H223" s="351"/>
      <c r="I223" s="346"/>
      <c r="J223" s="346"/>
      <c r="K223" s="346"/>
      <c r="L223" s="346"/>
      <c r="M223" s="346"/>
      <c r="N223" s="346"/>
    </row>
    <row r="224" spans="1:14" x14ac:dyDescent="0.25">
      <c r="A224" s="271">
        <v>15</v>
      </c>
      <c r="B224" s="272">
        <f t="shared" si="36"/>
        <v>67.764705882352942</v>
      </c>
      <c r="C224" s="273">
        <f t="shared" si="37"/>
        <v>67.764705882352942</v>
      </c>
      <c r="D224" s="341">
        <f t="shared" si="38"/>
        <v>1.0329861111111112</v>
      </c>
      <c r="E224" s="274">
        <f t="shared" si="39"/>
        <v>852.98342090129654</v>
      </c>
      <c r="F224" s="274">
        <f t="shared" si="40"/>
        <v>127.94751313519447</v>
      </c>
      <c r="G224" s="341">
        <f t="shared" si="41"/>
        <v>980.93093403649095</v>
      </c>
      <c r="H224" s="351"/>
      <c r="I224" s="346"/>
      <c r="J224" s="346"/>
      <c r="K224" s="346"/>
      <c r="L224" s="346"/>
      <c r="M224" s="346"/>
      <c r="N224" s="346"/>
    </row>
    <row r="225" spans="1:14" x14ac:dyDescent="0.25">
      <c r="A225" s="271">
        <v>16</v>
      </c>
      <c r="B225" s="272">
        <f t="shared" si="36"/>
        <v>67.764705882352942</v>
      </c>
      <c r="C225" s="273">
        <f t="shared" si="37"/>
        <v>67.764705882352942</v>
      </c>
      <c r="D225" s="341">
        <f t="shared" si="38"/>
        <v>1.0329861111111112</v>
      </c>
      <c r="E225" s="274">
        <f t="shared" si="39"/>
        <v>852.98342090129654</v>
      </c>
      <c r="F225" s="274">
        <f t="shared" si="40"/>
        <v>127.94751313519447</v>
      </c>
      <c r="G225" s="341">
        <f t="shared" si="41"/>
        <v>980.93093403649095</v>
      </c>
      <c r="H225" s="351"/>
      <c r="I225" s="346"/>
      <c r="J225" s="346"/>
      <c r="K225" s="346"/>
      <c r="L225" s="346"/>
      <c r="M225" s="346"/>
      <c r="N225" s="346"/>
    </row>
    <row r="226" spans="1:14" x14ac:dyDescent="0.25">
      <c r="A226" s="271">
        <v>17</v>
      </c>
      <c r="B226" s="272">
        <f t="shared" si="36"/>
        <v>67.764705882352942</v>
      </c>
      <c r="C226" s="273">
        <f t="shared" si="37"/>
        <v>67.764705882352942</v>
      </c>
      <c r="D226" s="341">
        <f t="shared" si="38"/>
        <v>1.0329861111111112</v>
      </c>
      <c r="E226" s="274">
        <f t="shared" si="39"/>
        <v>852.98342090129654</v>
      </c>
      <c r="F226" s="274">
        <f t="shared" si="40"/>
        <v>127.94751313519447</v>
      </c>
      <c r="G226" s="341">
        <f t="shared" si="41"/>
        <v>980.93093403649095</v>
      </c>
      <c r="H226" s="351"/>
      <c r="I226" s="346"/>
      <c r="J226" s="346"/>
      <c r="K226" s="346"/>
      <c r="L226" s="346"/>
      <c r="M226" s="346"/>
      <c r="N226" s="346"/>
    </row>
    <row r="227" spans="1:14" x14ac:dyDescent="0.25">
      <c r="A227" s="271">
        <v>18</v>
      </c>
      <c r="B227" s="272">
        <f t="shared" si="36"/>
        <v>67.764705882352942</v>
      </c>
      <c r="C227" s="273">
        <f t="shared" si="37"/>
        <v>67.764705882352942</v>
      </c>
      <c r="D227" s="341">
        <f t="shared" si="38"/>
        <v>1.0329861111111112</v>
      </c>
      <c r="E227" s="274">
        <f t="shared" si="39"/>
        <v>852.98342090129654</v>
      </c>
      <c r="F227" s="274">
        <f t="shared" si="40"/>
        <v>127.94751313519447</v>
      </c>
      <c r="G227" s="341">
        <f t="shared" si="41"/>
        <v>980.93093403649095</v>
      </c>
      <c r="H227" s="351"/>
      <c r="I227" s="346"/>
      <c r="J227" s="346"/>
      <c r="K227" s="346"/>
      <c r="L227" s="346"/>
      <c r="M227" s="346"/>
      <c r="N227" s="346"/>
    </row>
    <row r="228" spans="1:14" x14ac:dyDescent="0.25">
      <c r="A228" s="271">
        <v>19</v>
      </c>
      <c r="B228" s="272">
        <f t="shared" si="36"/>
        <v>67.764705882352942</v>
      </c>
      <c r="C228" s="273">
        <f t="shared" si="37"/>
        <v>67.764705882352942</v>
      </c>
      <c r="D228" s="341">
        <f t="shared" si="38"/>
        <v>1.0329861111111112</v>
      </c>
      <c r="E228" s="274">
        <f t="shared" si="39"/>
        <v>852.98342090129654</v>
      </c>
      <c r="F228" s="274">
        <f t="shared" si="40"/>
        <v>127.94751313519447</v>
      </c>
      <c r="G228" s="341">
        <f t="shared" si="41"/>
        <v>980.93093403649095</v>
      </c>
      <c r="H228" s="351"/>
      <c r="I228" s="346"/>
      <c r="J228" s="346"/>
      <c r="K228" s="346"/>
      <c r="L228" s="346"/>
      <c r="M228" s="346"/>
      <c r="N228" s="346"/>
    </row>
    <row r="229" spans="1:14" x14ac:dyDescent="0.25">
      <c r="A229" s="271">
        <v>20</v>
      </c>
      <c r="B229" s="272">
        <f t="shared" si="36"/>
        <v>67.764705882352942</v>
      </c>
      <c r="C229" s="273">
        <f t="shared" si="37"/>
        <v>67.764705882352942</v>
      </c>
      <c r="D229" s="341">
        <f t="shared" si="38"/>
        <v>1.0329861111111112</v>
      </c>
      <c r="E229" s="274">
        <f t="shared" si="39"/>
        <v>852.98342090129654</v>
      </c>
      <c r="F229" s="274">
        <f t="shared" si="40"/>
        <v>127.94751313519447</v>
      </c>
      <c r="G229" s="341">
        <f t="shared" si="41"/>
        <v>980.93093403649095</v>
      </c>
      <c r="H229" s="351"/>
      <c r="I229" s="346"/>
      <c r="J229" s="346"/>
      <c r="K229" s="346"/>
      <c r="L229" s="346"/>
      <c r="M229" s="346"/>
      <c r="N229" s="346"/>
    </row>
    <row r="230" spans="1:14" x14ac:dyDescent="0.25">
      <c r="A230" s="271">
        <v>21</v>
      </c>
      <c r="B230" s="272">
        <f t="shared" si="36"/>
        <v>67.764705882352942</v>
      </c>
      <c r="C230" s="273">
        <f t="shared" si="37"/>
        <v>67.764705882352942</v>
      </c>
      <c r="D230" s="341">
        <f t="shared" si="38"/>
        <v>1.0329861111111112</v>
      </c>
      <c r="E230" s="274">
        <f t="shared" si="39"/>
        <v>852.98342090129654</v>
      </c>
      <c r="F230" s="274">
        <f t="shared" si="40"/>
        <v>127.94751313519447</v>
      </c>
      <c r="G230" s="341">
        <f t="shared" si="41"/>
        <v>980.93093403649095</v>
      </c>
      <c r="H230" s="351"/>
      <c r="I230" s="346"/>
      <c r="J230" s="346"/>
      <c r="K230" s="346"/>
      <c r="L230" s="346"/>
      <c r="M230" s="346"/>
      <c r="N230" s="346"/>
    </row>
    <row r="231" spans="1:14" x14ac:dyDescent="0.25">
      <c r="A231" s="271">
        <v>22</v>
      </c>
      <c r="B231" s="272">
        <f t="shared" si="36"/>
        <v>67.764705882352942</v>
      </c>
      <c r="C231" s="273">
        <f t="shared" si="37"/>
        <v>67.764705882352942</v>
      </c>
      <c r="D231" s="341">
        <f t="shared" si="38"/>
        <v>1.0329861111111112</v>
      </c>
      <c r="E231" s="274">
        <f t="shared" si="39"/>
        <v>852.98342090129654</v>
      </c>
      <c r="F231" s="274">
        <f t="shared" si="40"/>
        <v>127.94751313519447</v>
      </c>
      <c r="G231" s="341">
        <f t="shared" si="41"/>
        <v>980.93093403649095</v>
      </c>
      <c r="H231" s="351"/>
      <c r="I231" s="346"/>
      <c r="J231" s="346"/>
      <c r="K231" s="346"/>
      <c r="L231" s="346"/>
      <c r="M231" s="346"/>
      <c r="N231" s="346"/>
    </row>
    <row r="232" spans="1:14" x14ac:dyDescent="0.25">
      <c r="A232" s="271">
        <v>23</v>
      </c>
      <c r="B232" s="272">
        <f t="shared" si="36"/>
        <v>67.764705882352942</v>
      </c>
      <c r="C232" s="273">
        <f t="shared" si="37"/>
        <v>67.764705882352942</v>
      </c>
      <c r="D232" s="341">
        <f t="shared" si="38"/>
        <v>1.0329861111111112</v>
      </c>
      <c r="E232" s="274">
        <f t="shared" si="39"/>
        <v>852.98342090129654</v>
      </c>
      <c r="F232" s="274">
        <f t="shared" si="40"/>
        <v>127.94751313519447</v>
      </c>
      <c r="G232" s="341">
        <f t="shared" si="41"/>
        <v>980.93093403649095</v>
      </c>
      <c r="H232" s="351"/>
      <c r="I232" s="346"/>
      <c r="J232" s="346"/>
      <c r="K232" s="346"/>
      <c r="L232" s="346"/>
      <c r="M232" s="346"/>
      <c r="N232" s="346"/>
    </row>
    <row r="233" spans="1:14" x14ac:dyDescent="0.25">
      <c r="A233" s="271">
        <v>24</v>
      </c>
      <c r="B233" s="272">
        <f t="shared" si="36"/>
        <v>67.764705882352942</v>
      </c>
      <c r="C233" s="273">
        <f t="shared" si="37"/>
        <v>67.764705882352942</v>
      </c>
      <c r="D233" s="341">
        <f t="shared" si="38"/>
        <v>1.0329861111111112</v>
      </c>
      <c r="E233" s="274">
        <f t="shared" si="39"/>
        <v>852.98342090129654</v>
      </c>
      <c r="F233" s="274">
        <f t="shared" si="40"/>
        <v>127.94751313519447</v>
      </c>
      <c r="G233" s="341">
        <f t="shared" si="41"/>
        <v>980.93093403649095</v>
      </c>
      <c r="H233" s="351"/>
      <c r="I233" s="346"/>
      <c r="J233" s="346"/>
      <c r="K233" s="346"/>
      <c r="L233" s="346"/>
      <c r="M233" s="346"/>
      <c r="N233" s="346"/>
    </row>
    <row r="234" spans="1:14" x14ac:dyDescent="0.25">
      <c r="A234" s="271">
        <v>25</v>
      </c>
      <c r="B234" s="272">
        <f t="shared" si="36"/>
        <v>67.764705882352942</v>
      </c>
      <c r="C234" s="273">
        <f t="shared" si="37"/>
        <v>67.764705882352942</v>
      </c>
      <c r="D234" s="341">
        <f t="shared" si="38"/>
        <v>1.0329861111111112</v>
      </c>
      <c r="E234" s="274">
        <f t="shared" si="39"/>
        <v>852.98342090129654</v>
      </c>
      <c r="F234" s="274">
        <f t="shared" si="40"/>
        <v>127.94751313519447</v>
      </c>
      <c r="G234" s="341">
        <f t="shared" si="41"/>
        <v>980.93093403649095</v>
      </c>
      <c r="H234" s="351"/>
      <c r="I234" s="346"/>
      <c r="J234" s="346"/>
      <c r="K234" s="346"/>
      <c r="L234" s="346"/>
      <c r="M234" s="346"/>
      <c r="N234" s="346"/>
    </row>
    <row r="235" spans="1:14" x14ac:dyDescent="0.25">
      <c r="A235" s="271">
        <v>26</v>
      </c>
      <c r="B235" s="272">
        <f t="shared" si="36"/>
        <v>67.764705882352942</v>
      </c>
      <c r="C235" s="273">
        <f t="shared" si="37"/>
        <v>67.764705882352942</v>
      </c>
      <c r="D235" s="341">
        <f t="shared" si="38"/>
        <v>1.0329861111111112</v>
      </c>
      <c r="E235" s="274">
        <f t="shared" si="39"/>
        <v>852.98342090129654</v>
      </c>
      <c r="F235" s="274">
        <f t="shared" si="40"/>
        <v>127.94751313519447</v>
      </c>
      <c r="G235" s="341">
        <f t="shared" si="41"/>
        <v>980.93093403649095</v>
      </c>
      <c r="H235" s="351"/>
      <c r="I235" s="346"/>
      <c r="J235" s="346"/>
      <c r="K235" s="346"/>
      <c r="L235" s="346"/>
      <c r="M235" s="346"/>
      <c r="N235" s="346"/>
    </row>
    <row r="236" spans="1:14" x14ac:dyDescent="0.25">
      <c r="A236" s="271">
        <v>27</v>
      </c>
      <c r="B236" s="272">
        <f t="shared" si="36"/>
        <v>67.764705882352942</v>
      </c>
      <c r="C236" s="273">
        <f t="shared" si="37"/>
        <v>67.764705882352942</v>
      </c>
      <c r="D236" s="341">
        <f t="shared" si="38"/>
        <v>1.0329861111111112</v>
      </c>
      <c r="E236" s="274">
        <f t="shared" si="39"/>
        <v>852.98342090129654</v>
      </c>
      <c r="F236" s="274">
        <f t="shared" si="40"/>
        <v>127.94751313519447</v>
      </c>
      <c r="G236" s="341">
        <f t="shared" si="41"/>
        <v>980.93093403649095</v>
      </c>
      <c r="H236" s="351"/>
      <c r="I236" s="346"/>
      <c r="J236" s="346"/>
      <c r="K236" s="346"/>
      <c r="L236" s="346"/>
      <c r="M236" s="346"/>
      <c r="N236" s="346"/>
    </row>
    <row r="237" spans="1:14" x14ac:dyDescent="0.25">
      <c r="A237" s="271">
        <v>28</v>
      </c>
      <c r="B237" s="272">
        <f t="shared" si="36"/>
        <v>67.764705882352942</v>
      </c>
      <c r="C237" s="273">
        <f t="shared" si="37"/>
        <v>67.764705882352942</v>
      </c>
      <c r="D237" s="341">
        <f t="shared" si="38"/>
        <v>1.0329861111111112</v>
      </c>
      <c r="E237" s="274">
        <f t="shared" si="39"/>
        <v>852.98342090129654</v>
      </c>
      <c r="F237" s="274">
        <f t="shared" si="40"/>
        <v>127.94751313519447</v>
      </c>
      <c r="G237" s="341">
        <f t="shared" si="41"/>
        <v>980.93093403649095</v>
      </c>
      <c r="H237" s="113"/>
      <c r="I237" s="346"/>
      <c r="J237" s="346"/>
      <c r="K237" s="346"/>
      <c r="L237" s="350"/>
      <c r="M237" s="350"/>
      <c r="N237" s="350"/>
    </row>
    <row r="238" spans="1:14" x14ac:dyDescent="0.25">
      <c r="A238" s="271">
        <v>29</v>
      </c>
      <c r="B238" s="272">
        <f t="shared" si="36"/>
        <v>67.764705882352942</v>
      </c>
      <c r="C238" s="273">
        <f t="shared" si="37"/>
        <v>67.764705882352942</v>
      </c>
      <c r="D238" s="341">
        <f t="shared" si="38"/>
        <v>1.0329861111111112</v>
      </c>
      <c r="E238" s="274">
        <f t="shared" si="39"/>
        <v>852.98342090129654</v>
      </c>
      <c r="F238" s="274">
        <f t="shared" si="40"/>
        <v>127.94751313519447</v>
      </c>
      <c r="G238" s="341">
        <f t="shared" si="41"/>
        <v>980.93093403649095</v>
      </c>
      <c r="H238" s="47"/>
      <c r="I238" s="47"/>
      <c r="J238" s="47"/>
      <c r="K238" s="47"/>
      <c r="L238" s="47"/>
      <c r="M238" s="47"/>
      <c r="N238" s="47"/>
    </row>
    <row r="239" spans="1:14" x14ac:dyDescent="0.25">
      <c r="A239" s="271">
        <v>30</v>
      </c>
      <c r="B239" s="272">
        <f t="shared" si="36"/>
        <v>67.764705882352942</v>
      </c>
      <c r="C239" s="273">
        <f t="shared" si="37"/>
        <v>67.764705882352942</v>
      </c>
      <c r="D239" s="341">
        <f t="shared" si="38"/>
        <v>1.0329861111111112</v>
      </c>
      <c r="E239" s="274">
        <f t="shared" si="39"/>
        <v>852.98342090129654</v>
      </c>
      <c r="F239" s="274">
        <f t="shared" si="40"/>
        <v>127.94751313519447</v>
      </c>
      <c r="G239" s="341">
        <f t="shared" si="41"/>
        <v>980.93093403649095</v>
      </c>
      <c r="H239" s="47"/>
      <c r="I239" s="47"/>
      <c r="J239" s="47"/>
      <c r="K239" s="47"/>
      <c r="L239" s="47"/>
      <c r="M239" s="47"/>
      <c r="N239" s="47"/>
    </row>
    <row r="240" spans="1:14" x14ac:dyDescent="0.25">
      <c r="A240" s="271">
        <v>31</v>
      </c>
      <c r="B240" s="272">
        <f t="shared" si="36"/>
        <v>67.764705882352942</v>
      </c>
      <c r="C240" s="273">
        <f>IF(B240&lt;=60,60,B240)</f>
        <v>67.764705882352942</v>
      </c>
      <c r="D240" s="341">
        <f>$B$53/C240</f>
        <v>1.0329861111111112</v>
      </c>
      <c r="E240" s="274">
        <f>(D240*$F$2*$J$2*$J$6)</f>
        <v>852.98342090129654</v>
      </c>
      <c r="F240" s="274">
        <f>(D240*$F$4*$J$3*$J$6)</f>
        <v>127.94751313519447</v>
      </c>
      <c r="G240" s="341">
        <f>E240+F240</f>
        <v>980.93093403649095</v>
      </c>
      <c r="H240" s="425"/>
      <c r="I240" s="564"/>
      <c r="J240" s="564"/>
      <c r="K240" s="564"/>
      <c r="L240" s="564"/>
      <c r="M240" s="564"/>
      <c r="N240" s="564"/>
    </row>
    <row r="241" spans="1:16" x14ac:dyDescent="0.25">
      <c r="A241" s="271">
        <v>32</v>
      </c>
      <c r="B241" s="272">
        <f t="shared" si="36"/>
        <v>67.764705882352942</v>
      </c>
      <c r="C241" s="273">
        <f>IF(B241&lt;=60,60,B241)</f>
        <v>67.764705882352942</v>
      </c>
      <c r="D241" s="341">
        <f>$B$53/C241</f>
        <v>1.0329861111111112</v>
      </c>
      <c r="E241" s="274">
        <f>(D241*$F$2*$J$2*$J$6)</f>
        <v>852.98342090129654</v>
      </c>
      <c r="F241" s="274">
        <f>(D241*$F$4*$J$3*$J$6)</f>
        <v>127.94751313519447</v>
      </c>
      <c r="G241" s="341">
        <f>E241+F241</f>
        <v>980.93093403649095</v>
      </c>
      <c r="H241" s="520"/>
      <c r="I241" s="519"/>
      <c r="J241" s="519"/>
      <c r="K241" s="519"/>
      <c r="L241" s="519"/>
      <c r="M241" s="519"/>
      <c r="N241" s="519"/>
    </row>
    <row r="242" spans="1:16" x14ac:dyDescent="0.25">
      <c r="A242" s="340"/>
      <c r="B242" s="45"/>
      <c r="C242" s="519"/>
      <c r="D242" s="519"/>
      <c r="E242" s="519"/>
      <c r="F242" s="519"/>
      <c r="G242" s="520"/>
      <c r="H242" s="520"/>
      <c r="I242" s="519"/>
      <c r="J242" s="519"/>
      <c r="K242" s="519"/>
      <c r="L242" s="519"/>
      <c r="M242" s="519"/>
      <c r="N242" s="519"/>
    </row>
    <row r="243" spans="1:16" x14ac:dyDescent="0.25">
      <c r="A243" s="353" t="s">
        <v>338</v>
      </c>
      <c r="B243" s="121"/>
      <c r="C243" s="290"/>
      <c r="D243" s="290"/>
      <c r="E243" s="290"/>
      <c r="F243" s="290"/>
      <c r="G243" s="290"/>
      <c r="H243" s="290"/>
      <c r="I243" s="290"/>
      <c r="J243" s="290"/>
      <c r="K243" s="290"/>
      <c r="L243" s="289"/>
      <c r="M243" s="289"/>
      <c r="N243" s="289"/>
    </row>
    <row r="244" spans="1:16" x14ac:dyDescent="0.25">
      <c r="B244" s="349"/>
      <c r="C244" s="345"/>
      <c r="D244" s="345"/>
      <c r="E244" s="345"/>
      <c r="F244" s="113"/>
      <c r="G244" s="113"/>
      <c r="H244" s="113"/>
      <c r="I244" s="346"/>
      <c r="J244" s="346"/>
      <c r="K244" s="346"/>
      <c r="L244" s="350"/>
      <c r="M244" s="350"/>
      <c r="N244" s="350"/>
    </row>
    <row r="245" spans="1:16" ht="60" x14ac:dyDescent="0.25">
      <c r="A245" s="35" t="s">
        <v>18</v>
      </c>
      <c r="B245" s="355" t="s">
        <v>339</v>
      </c>
      <c r="C245" s="273" t="s">
        <v>14</v>
      </c>
      <c r="D245" s="273" t="s">
        <v>340</v>
      </c>
      <c r="E245" s="345"/>
      <c r="F245" s="35" t="s">
        <v>18</v>
      </c>
      <c r="G245" s="356" t="s">
        <v>341</v>
      </c>
      <c r="H245" s="273" t="s">
        <v>14</v>
      </c>
      <c r="I245" s="273" t="s">
        <v>340</v>
      </c>
      <c r="J245" s="346"/>
      <c r="K245" s="35" t="s">
        <v>18</v>
      </c>
      <c r="L245" s="355" t="s">
        <v>342</v>
      </c>
      <c r="M245" s="273" t="s">
        <v>14</v>
      </c>
      <c r="N245" s="273" t="s">
        <v>340</v>
      </c>
      <c r="O245" s="576" t="s">
        <v>533</v>
      </c>
      <c r="P245" s="576"/>
    </row>
    <row r="246" spans="1:16" x14ac:dyDescent="0.25">
      <c r="A246" s="271">
        <v>0</v>
      </c>
      <c r="B246" s="354">
        <f>G172</f>
        <v>850.92803916418484</v>
      </c>
      <c r="C246" s="273">
        <f>'N CARRILES HCM'!D3</f>
        <v>243</v>
      </c>
      <c r="D246" s="273">
        <f>B246*C246*365</f>
        <v>75473062.433667377</v>
      </c>
      <c r="E246" s="345"/>
      <c r="F246" s="271">
        <v>0</v>
      </c>
      <c r="G246" s="354">
        <f>O172</f>
        <v>676.97287090501686</v>
      </c>
      <c r="H246" s="273">
        <f>'N CARRILES HCM'!D40</f>
        <v>243</v>
      </c>
      <c r="I246" s="273">
        <f>G246*H246*365</f>
        <v>60044108.784920469</v>
      </c>
      <c r="J246" s="346"/>
      <c r="K246" s="271">
        <v>0</v>
      </c>
      <c r="L246" s="354">
        <f>G209</f>
        <v>882.83784063284202</v>
      </c>
      <c r="M246" s="273">
        <f>'N CARRILES HCM'!D77</f>
        <v>486</v>
      </c>
      <c r="N246" s="273">
        <f>L246*M246*365</f>
        <v>156606604.54985985</v>
      </c>
      <c r="O246">
        <f>L246*H246*365</f>
        <v>78303302.274929926</v>
      </c>
    </row>
    <row r="247" spans="1:16" x14ac:dyDescent="0.25">
      <c r="A247" s="271">
        <v>1</v>
      </c>
      <c r="B247" s="354">
        <f t="shared" ref="B247:B276" si="42">G173</f>
        <v>850.92803916418484</v>
      </c>
      <c r="C247" s="273">
        <f>'N CARRILES HCM'!D4</f>
        <v>250.29000000000002</v>
      </c>
      <c r="D247" s="273">
        <f t="shared" ref="D247:D276" si="43">B247*C247*365</f>
        <v>77737254.306677401</v>
      </c>
      <c r="E247" s="345"/>
      <c r="F247" s="271">
        <v>1</v>
      </c>
      <c r="G247" s="354">
        <f t="shared" ref="G247:G276" si="44">O173</f>
        <v>679.05681204103792</v>
      </c>
      <c r="H247" s="273">
        <f>'N CARRILES HCM'!D41</f>
        <v>250.29000000000002</v>
      </c>
      <c r="I247" s="273">
        <f t="shared" ref="I247:I276" si="45">G247*H247*365</f>
        <v>62035812.262299255</v>
      </c>
      <c r="J247" s="346"/>
      <c r="K247" s="271">
        <v>1</v>
      </c>
      <c r="L247" s="354">
        <f t="shared" ref="L247:L276" si="46">G210</f>
        <v>882.83784063284202</v>
      </c>
      <c r="M247" s="273">
        <f>'N CARRILES HCM'!D78</f>
        <v>500.58000000000004</v>
      </c>
      <c r="N247" s="273">
        <f t="shared" ref="N247:N276" si="47">L247*M247*365</f>
        <v>161304802.68635565</v>
      </c>
      <c r="O247">
        <f t="shared" ref="O247:O278" si="48">L247*H247*365</f>
        <v>80652401.343177825</v>
      </c>
    </row>
    <row r="248" spans="1:16" x14ac:dyDescent="0.25">
      <c r="A248" s="271">
        <v>2</v>
      </c>
      <c r="B248" s="354">
        <f t="shared" si="42"/>
        <v>850.92803916418484</v>
      </c>
      <c r="C248" s="273">
        <f>'N CARRILES HCM'!D5</f>
        <v>257.7987</v>
      </c>
      <c r="D248" s="273">
        <f t="shared" si="43"/>
        <v>80069371.935877711</v>
      </c>
      <c r="E248" s="345"/>
      <c r="F248" s="271">
        <v>2</v>
      </c>
      <c r="G248" s="354">
        <f t="shared" si="44"/>
        <v>681.21672729053375</v>
      </c>
      <c r="H248" s="273">
        <f>'N CARRILES HCM'!D42</f>
        <v>257.7987</v>
      </c>
      <c r="I248" s="273">
        <f t="shared" si="45"/>
        <v>64100127.15052025</v>
      </c>
      <c r="J248" s="346"/>
      <c r="K248" s="271">
        <v>2</v>
      </c>
      <c r="L248" s="354">
        <f t="shared" si="46"/>
        <v>882.83784063284202</v>
      </c>
      <c r="M248" s="273">
        <f>'N CARRILES HCM'!D79</f>
        <v>515.59739999999999</v>
      </c>
      <c r="N248" s="273">
        <f t="shared" si="47"/>
        <v>166143946.76694632</v>
      </c>
      <c r="O248">
        <f t="shared" si="48"/>
        <v>83071973.383473158</v>
      </c>
    </row>
    <row r="249" spans="1:16" x14ac:dyDescent="0.25">
      <c r="A249" s="271">
        <v>3</v>
      </c>
      <c r="B249" s="354">
        <f t="shared" si="42"/>
        <v>850.92803916418484</v>
      </c>
      <c r="C249" s="273">
        <f>'N CARRILES HCM'!D6</f>
        <v>265.53266100000002</v>
      </c>
      <c r="D249" s="273">
        <f t="shared" si="43"/>
        <v>82471453.093954057</v>
      </c>
      <c r="E249" s="345"/>
      <c r="F249" s="271">
        <v>3</v>
      </c>
      <c r="G249" s="354">
        <f t="shared" si="44"/>
        <v>682.60932705564812</v>
      </c>
      <c r="H249" s="273">
        <f>'N CARRILES HCM'!D43</f>
        <v>265.53266100000002</v>
      </c>
      <c r="I249" s="273">
        <f t="shared" si="45"/>
        <v>66158100.928324521</v>
      </c>
      <c r="J249" s="346"/>
      <c r="K249" s="271">
        <v>3</v>
      </c>
      <c r="L249" s="354">
        <f t="shared" si="46"/>
        <v>882.83784063284202</v>
      </c>
      <c r="M249" s="273">
        <f>'N CARRILES HCM'!D80</f>
        <v>531.06532200000004</v>
      </c>
      <c r="N249" s="273">
        <f t="shared" si="47"/>
        <v>171128265.16995472</v>
      </c>
      <c r="O249">
        <f t="shared" si="48"/>
        <v>85564132.584977359</v>
      </c>
    </row>
    <row r="250" spans="1:16" x14ac:dyDescent="0.25">
      <c r="A250" s="271">
        <v>4</v>
      </c>
      <c r="B250" s="354">
        <f t="shared" si="42"/>
        <v>850.92803916418484</v>
      </c>
      <c r="C250" s="273">
        <f>'N CARRILES HCM'!D7</f>
        <v>273.49864083</v>
      </c>
      <c r="D250" s="273">
        <f t="shared" si="43"/>
        <v>84945596.686772674</v>
      </c>
      <c r="E250" s="345"/>
      <c r="F250" s="271">
        <v>4</v>
      </c>
      <c r="G250" s="354">
        <f t="shared" si="44"/>
        <v>684.89977330237639</v>
      </c>
      <c r="H250" s="273">
        <f>'N CARRILES HCM'!D44</f>
        <v>273.49864083</v>
      </c>
      <c r="I250" s="273">
        <f t="shared" si="45"/>
        <v>68371492.342585891</v>
      </c>
      <c r="J250" s="346"/>
      <c r="K250" s="271">
        <v>4</v>
      </c>
      <c r="L250" s="354">
        <f t="shared" si="46"/>
        <v>882.83784063284202</v>
      </c>
      <c r="M250" s="273">
        <f>'N CARRILES HCM'!D81</f>
        <v>546.99728166</v>
      </c>
      <c r="N250" s="273">
        <f t="shared" si="47"/>
        <v>176262113.12505335</v>
      </c>
      <c r="O250">
        <f t="shared" si="48"/>
        <v>88131056.562526673</v>
      </c>
    </row>
    <row r="251" spans="1:16" x14ac:dyDescent="0.25">
      <c r="A251" s="271">
        <v>5</v>
      </c>
      <c r="B251" s="354">
        <f t="shared" si="42"/>
        <v>850.92803916418484</v>
      </c>
      <c r="C251" s="273">
        <f>'N CARRILES HCM'!D8</f>
        <v>281.70360005489994</v>
      </c>
      <c r="D251" s="273">
        <f t="shared" si="43"/>
        <v>87493964.587375835</v>
      </c>
      <c r="E251" s="345"/>
      <c r="F251" s="271">
        <v>5</v>
      </c>
      <c r="G251" s="354">
        <f t="shared" si="44"/>
        <v>687.27505812549418</v>
      </c>
      <c r="H251" s="273">
        <f>'N CARRILES HCM'!D45</f>
        <v>281.70360005489994</v>
      </c>
      <c r="I251" s="273">
        <f t="shared" si="45"/>
        <v>70666868.207190692</v>
      </c>
      <c r="J251" s="346"/>
      <c r="K251" s="271">
        <v>5</v>
      </c>
      <c r="L251" s="354">
        <f t="shared" si="46"/>
        <v>882.83784063284202</v>
      </c>
      <c r="M251" s="273">
        <f>'N CARRILES HCM'!D82</f>
        <v>563.40720010979987</v>
      </c>
      <c r="N251" s="273">
        <f t="shared" si="47"/>
        <v>181549976.51880491</v>
      </c>
      <c r="O251">
        <f t="shared" si="48"/>
        <v>90774988.259402454</v>
      </c>
    </row>
    <row r="252" spans="1:16" x14ac:dyDescent="0.25">
      <c r="A252" s="271">
        <v>6</v>
      </c>
      <c r="B252" s="354">
        <f t="shared" si="42"/>
        <v>850.92803916418484</v>
      </c>
      <c r="C252" s="273">
        <f>'N CARRILES HCM'!D9</f>
        <v>290.15470805654695</v>
      </c>
      <c r="D252" s="273">
        <f t="shared" si="43"/>
        <v>90118783.5249971</v>
      </c>
      <c r="E252" s="345"/>
      <c r="F252" s="271">
        <v>6</v>
      </c>
      <c r="G252" s="354">
        <f t="shared" si="44"/>
        <v>689.73888738377229</v>
      </c>
      <c r="H252" s="273">
        <f>'N CARRILES HCM'!D46</f>
        <v>290.15470805654695</v>
      </c>
      <c r="I252" s="273">
        <f t="shared" si="45"/>
        <v>73047809.708991379</v>
      </c>
      <c r="J252" s="346"/>
      <c r="K252" s="271">
        <v>6</v>
      </c>
      <c r="L252" s="354">
        <f t="shared" si="46"/>
        <v>882.83784063284202</v>
      </c>
      <c r="M252" s="273">
        <f>'N CARRILES HCM'!D83</f>
        <v>580.3094161130939</v>
      </c>
      <c r="N252" s="273">
        <f t="shared" si="47"/>
        <v>186996475.81436905</v>
      </c>
      <c r="O252">
        <f t="shared" si="48"/>
        <v>93498237.907184526</v>
      </c>
    </row>
    <row r="253" spans="1:16" x14ac:dyDescent="0.25">
      <c r="A253" s="271">
        <v>7</v>
      </c>
      <c r="B253" s="354">
        <f t="shared" si="42"/>
        <v>850.92803916418484</v>
      </c>
      <c r="C253" s="273">
        <f>'N CARRILES HCM'!D10</f>
        <v>298.85934929824339</v>
      </c>
      <c r="D253" s="273">
        <f t="shared" si="43"/>
        <v>92822347.030747026</v>
      </c>
      <c r="E253" s="345"/>
      <c r="F253" s="271">
        <v>7</v>
      </c>
      <c r="G253" s="354">
        <f t="shared" si="44"/>
        <v>692.29516813711598</v>
      </c>
      <c r="H253" s="273">
        <f>'N CARRILES HCM'!D47</f>
        <v>298.85934929824339</v>
      </c>
      <c r="I253" s="273">
        <f t="shared" si="45"/>
        <v>75518092.467198417</v>
      </c>
      <c r="J253" s="346"/>
      <c r="K253" s="271">
        <v>7</v>
      </c>
      <c r="L253" s="354">
        <f t="shared" si="46"/>
        <v>882.83784063284202</v>
      </c>
      <c r="M253" s="273">
        <f>'N CARRILES HCM'!D84</f>
        <v>597.71869859648677</v>
      </c>
      <c r="N253" s="273">
        <f t="shared" si="47"/>
        <v>192606370.08880013</v>
      </c>
      <c r="O253">
        <f t="shared" si="48"/>
        <v>96303185.044400066</v>
      </c>
    </row>
    <row r="254" spans="1:16" x14ac:dyDescent="0.25">
      <c r="A254" s="271">
        <v>8</v>
      </c>
      <c r="B254" s="354">
        <f t="shared" si="42"/>
        <v>850.92803916418484</v>
      </c>
      <c r="C254" s="273">
        <f>'N CARRILES HCM'!D11</f>
        <v>307.82512977719068</v>
      </c>
      <c r="D254" s="273">
        <f t="shared" si="43"/>
        <v>95607017.441669449</v>
      </c>
      <c r="E254" s="345"/>
      <c r="F254" s="271">
        <v>8</v>
      </c>
      <c r="G254" s="354">
        <f t="shared" si="44"/>
        <v>694.94802236243595</v>
      </c>
      <c r="H254" s="273">
        <f>'N CARRILES HCM'!D48</f>
        <v>307.82512977719068</v>
      </c>
      <c r="I254" s="273">
        <f t="shared" si="45"/>
        <v>78081699.787823379</v>
      </c>
      <c r="J254" s="346"/>
      <c r="K254" s="271">
        <v>8</v>
      </c>
      <c r="L254" s="354">
        <f t="shared" si="46"/>
        <v>882.83784063284202</v>
      </c>
      <c r="M254" s="273">
        <f>'N CARRILES HCM'!D85</f>
        <v>615.65025955438136</v>
      </c>
      <c r="N254" s="273">
        <f t="shared" si="47"/>
        <v>198384561.19146413</v>
      </c>
      <c r="O254">
        <f t="shared" si="48"/>
        <v>99192280.595732063</v>
      </c>
    </row>
    <row r="255" spans="1:16" x14ac:dyDescent="0.25">
      <c r="A255" s="271">
        <v>9</v>
      </c>
      <c r="B255" s="354">
        <f t="shared" si="42"/>
        <v>850.92803916418484</v>
      </c>
      <c r="C255" s="273">
        <f>'N CARRILES HCM'!D12</f>
        <v>317.05988367050639</v>
      </c>
      <c r="D255" s="273">
        <f t="shared" si="43"/>
        <v>98475227.964919522</v>
      </c>
      <c r="E255" s="345"/>
      <c r="F255" s="271">
        <v>9</v>
      </c>
      <c r="G255" s="354">
        <f t="shared" si="44"/>
        <v>697.70180181358114</v>
      </c>
      <c r="H255" s="273">
        <f>'N CARRILES HCM'!D49</f>
        <v>317.05988367050639</v>
      </c>
      <c r="I255" s="273">
        <f t="shared" si="45"/>
        <v>80742837.023696616</v>
      </c>
      <c r="J255" s="346"/>
      <c r="K255" s="271">
        <v>9</v>
      </c>
      <c r="L255" s="354">
        <f t="shared" si="46"/>
        <v>882.83784063284202</v>
      </c>
      <c r="M255" s="273">
        <f>'N CARRILES HCM'!D86</f>
        <v>634.11976734101279</v>
      </c>
      <c r="N255" s="273">
        <f t="shared" si="47"/>
        <v>204336098.02720806</v>
      </c>
      <c r="O255">
        <f t="shared" si="48"/>
        <v>102168049.01360403</v>
      </c>
    </row>
    <row r="256" spans="1:16" x14ac:dyDescent="0.25">
      <c r="A256" s="271">
        <v>10</v>
      </c>
      <c r="B256" s="354">
        <f t="shared" si="42"/>
        <v>850.92803916418484</v>
      </c>
      <c r="C256" s="273">
        <f>'N CARRILES HCM'!D13</f>
        <v>326.57168018062157</v>
      </c>
      <c r="D256" s="273">
        <f t="shared" si="43"/>
        <v>101429484.8038671</v>
      </c>
      <c r="E256" s="345"/>
      <c r="F256" s="271">
        <v>10</v>
      </c>
      <c r="G256" s="354">
        <f t="shared" si="44"/>
        <v>700.56110413849285</v>
      </c>
      <c r="H256" s="273">
        <f>'N CARRILES HCM'!D50</f>
        <v>326.57168018062157</v>
      </c>
      <c r="I256" s="273">
        <f t="shared" si="45"/>
        <v>83505947.149410129</v>
      </c>
      <c r="J256" s="346"/>
      <c r="K256" s="271">
        <v>10</v>
      </c>
      <c r="L256" s="354">
        <f t="shared" si="46"/>
        <v>882.83784063284202</v>
      </c>
      <c r="M256" s="273">
        <f>'N CARRILES HCM'!D87</f>
        <v>653.14336036124314</v>
      </c>
      <c r="N256" s="273">
        <f t="shared" si="47"/>
        <v>210466180.96802428</v>
      </c>
      <c r="O256">
        <f t="shared" si="48"/>
        <v>105233090.48401214</v>
      </c>
    </row>
    <row r="257" spans="1:15" x14ac:dyDescent="0.25">
      <c r="A257" s="271">
        <v>11</v>
      </c>
      <c r="B257" s="354">
        <f t="shared" si="42"/>
        <v>850.92803916418484</v>
      </c>
      <c r="C257" s="273">
        <f>'N CARRILES HCM'!D14</f>
        <v>336.36883058604025</v>
      </c>
      <c r="D257" s="273">
        <f t="shared" si="43"/>
        <v>104472369.34798314</v>
      </c>
      <c r="E257" s="345"/>
      <c r="F257" s="271">
        <v>11</v>
      </c>
      <c r="G257" s="354">
        <f t="shared" si="44"/>
        <v>703.53079037970838</v>
      </c>
      <c r="H257" s="273">
        <f>'N CARRILES HCM'!D51</f>
        <v>336.36883058604025</v>
      </c>
      <c r="I257" s="273">
        <f t="shared" si="45"/>
        <v>86375727.673072711</v>
      </c>
      <c r="J257" s="346"/>
      <c r="K257" s="271">
        <v>11</v>
      </c>
      <c r="L257" s="354">
        <f t="shared" si="46"/>
        <v>882.83784063284202</v>
      </c>
      <c r="M257" s="273">
        <f>'N CARRILES HCM'!D88</f>
        <v>672.73766117208049</v>
      </c>
      <c r="N257" s="273">
        <f t="shared" si="47"/>
        <v>216780166.39706507</v>
      </c>
      <c r="O257">
        <f t="shared" si="48"/>
        <v>108390083.19853254</v>
      </c>
    </row>
    <row r="258" spans="1:15" x14ac:dyDescent="0.25">
      <c r="A258" s="271">
        <v>12</v>
      </c>
      <c r="B258" s="354">
        <f t="shared" si="42"/>
        <v>850.92803916418484</v>
      </c>
      <c r="C258" s="273">
        <f>'N CARRILES HCM'!D15</f>
        <v>346.4598955036214</v>
      </c>
      <c r="D258" s="273">
        <f t="shared" si="43"/>
        <v>107606540.4284226</v>
      </c>
      <c r="E258" s="345"/>
      <c r="F258" s="271">
        <v>12</v>
      </c>
      <c r="G258" s="354">
        <f t="shared" si="44"/>
        <v>706.61600399901636</v>
      </c>
      <c r="H258" s="273">
        <f>'N CARRILES HCM'!D52</f>
        <v>346.4598955036214</v>
      </c>
      <c r="I258" s="273">
        <f t="shared" si="45"/>
        <v>89357149.020940289</v>
      </c>
      <c r="J258" s="346"/>
      <c r="K258" s="271">
        <v>12</v>
      </c>
      <c r="L258" s="354">
        <f t="shared" si="46"/>
        <v>980.93093403649095</v>
      </c>
      <c r="M258" s="273">
        <f>'N CARRILES HCM'!D89</f>
        <v>692.91979100724279</v>
      </c>
      <c r="N258" s="273">
        <f t="shared" si="47"/>
        <v>248092857.09886324</v>
      </c>
      <c r="O258">
        <f t="shared" si="48"/>
        <v>124046428.54943162</v>
      </c>
    </row>
    <row r="259" spans="1:15" x14ac:dyDescent="0.25">
      <c r="A259" s="271">
        <v>13</v>
      </c>
      <c r="B259" s="354">
        <f t="shared" si="42"/>
        <v>850.92803916418484</v>
      </c>
      <c r="C259" s="273">
        <f>'N CARRILES HCM'!D16</f>
        <v>356.85369236873004</v>
      </c>
      <c r="D259" s="273">
        <f t="shared" si="43"/>
        <v>110834736.64127527</v>
      </c>
      <c r="E259" s="345"/>
      <c r="F259" s="271">
        <v>13</v>
      </c>
      <c r="G259" s="354">
        <f t="shared" si="44"/>
        <v>709.8221915836798</v>
      </c>
      <c r="H259" s="273">
        <f>'N CARRILES HCM'!D53</f>
        <v>356.85369236873004</v>
      </c>
      <c r="I259" s="273">
        <f t="shared" si="45"/>
        <v>92455474.547043577</v>
      </c>
      <c r="J259" s="346"/>
      <c r="K259" s="271">
        <v>13</v>
      </c>
      <c r="L259" s="354">
        <f t="shared" si="46"/>
        <v>980.93093403649095</v>
      </c>
      <c r="M259" s="273">
        <f>'N CARRILES HCM'!D90</f>
        <v>713.70738473746007</v>
      </c>
      <c r="N259" s="273">
        <f t="shared" si="47"/>
        <v>255535642.81182915</v>
      </c>
      <c r="O259">
        <f t="shared" si="48"/>
        <v>127767821.40591457</v>
      </c>
    </row>
    <row r="260" spans="1:15" x14ac:dyDescent="0.25">
      <c r="A260" s="271">
        <v>14</v>
      </c>
      <c r="B260" s="354">
        <f t="shared" si="42"/>
        <v>882.83784063284202</v>
      </c>
      <c r="C260" s="273">
        <f>'N CARRILES HCM'!D17</f>
        <v>367.55930313979195</v>
      </c>
      <c r="D260" s="273">
        <f t="shared" si="43"/>
        <v>118440770.44328283</v>
      </c>
      <c r="E260" s="345"/>
      <c r="F260" s="271">
        <v>14</v>
      </c>
      <c r="G260" s="354">
        <f t="shared" si="44"/>
        <v>713.15512541050032</v>
      </c>
      <c r="H260" s="273">
        <f>'N CARRILES HCM'!D54</f>
        <v>367.55930313979195</v>
      </c>
      <c r="I260" s="273">
        <f t="shared" si="45"/>
        <v>95676282.338155866</v>
      </c>
      <c r="J260" s="346"/>
      <c r="K260" s="271">
        <v>14</v>
      </c>
      <c r="L260" s="354">
        <f t="shared" si="46"/>
        <v>980.93093403649095</v>
      </c>
      <c r="M260" s="273">
        <f>'N CARRILES HCM'!D91</f>
        <v>735.1186062795839</v>
      </c>
      <c r="N260" s="273">
        <f t="shared" si="47"/>
        <v>263201712.09618402</v>
      </c>
      <c r="O260">
        <f t="shared" si="48"/>
        <v>131600856.04809201</v>
      </c>
    </row>
    <row r="261" spans="1:15" x14ac:dyDescent="0.25">
      <c r="A261" s="271">
        <v>15</v>
      </c>
      <c r="B261" s="354">
        <f t="shared" si="42"/>
        <v>882.83784063284202</v>
      </c>
      <c r="C261" s="273">
        <f>'N CARRILES HCM'!D18</f>
        <v>378.58608223398574</v>
      </c>
      <c r="D261" s="273">
        <f t="shared" si="43"/>
        <v>121993993.55658132</v>
      </c>
      <c r="E261" s="345"/>
      <c r="F261" s="271">
        <v>15</v>
      </c>
      <c r="G261" s="354">
        <f t="shared" si="44"/>
        <v>716.62092806543387</v>
      </c>
      <c r="H261" s="273">
        <f>'N CARRILES HCM'!D55</f>
        <v>378.58608223398574</v>
      </c>
      <c r="I261" s="273">
        <f t="shared" si="45"/>
        <v>99025489.005159065</v>
      </c>
      <c r="J261" s="346"/>
      <c r="K261" s="271">
        <v>15</v>
      </c>
      <c r="L261" s="354">
        <f t="shared" si="46"/>
        <v>980.93093403649095</v>
      </c>
      <c r="M261" s="273">
        <f>'N CARRILES HCM'!D92</f>
        <v>757.17216446797147</v>
      </c>
      <c r="N261" s="273">
        <f t="shared" si="47"/>
        <v>271097763.45906955</v>
      </c>
      <c r="O261">
        <f t="shared" si="48"/>
        <v>135548881.72953478</v>
      </c>
    </row>
    <row r="262" spans="1:15" x14ac:dyDescent="0.25">
      <c r="A262" s="271">
        <v>16</v>
      </c>
      <c r="B262" s="354">
        <f t="shared" si="42"/>
        <v>882.83784063284202</v>
      </c>
      <c r="C262" s="273">
        <f>'N CARRILES HCM'!D19</f>
        <v>389.94366470100528</v>
      </c>
      <c r="D262" s="273">
        <f t="shared" si="43"/>
        <v>125653813.36327875</v>
      </c>
      <c r="E262" s="345"/>
      <c r="F262" s="271">
        <v>16</v>
      </c>
      <c r="G262" s="354">
        <f t="shared" si="44"/>
        <v>718.87645661516115</v>
      </c>
      <c r="H262" s="273">
        <f>'N CARRILES HCM'!D56</f>
        <v>389.94366470100528</v>
      </c>
      <c r="I262" s="273">
        <f t="shared" si="45"/>
        <v>102317281.78532304</v>
      </c>
      <c r="J262" s="346"/>
      <c r="K262" s="271">
        <v>16</v>
      </c>
      <c r="L262" s="354">
        <f t="shared" si="46"/>
        <v>980.93093403649095</v>
      </c>
      <c r="M262" s="273">
        <f>'N CARRILES HCM'!D93</f>
        <v>779.88732940201055</v>
      </c>
      <c r="N262" s="273">
        <f t="shared" si="47"/>
        <v>279230696.36284161</v>
      </c>
      <c r="O262">
        <f t="shared" si="48"/>
        <v>139615348.1814208</v>
      </c>
    </row>
    <row r="263" spans="1:15" x14ac:dyDescent="0.25">
      <c r="A263" s="271">
        <v>17</v>
      </c>
      <c r="B263" s="354">
        <f t="shared" si="42"/>
        <v>882.83784063284202</v>
      </c>
      <c r="C263" s="273">
        <f>'N CARRILES HCM'!D20</f>
        <v>401.64197464203539</v>
      </c>
      <c r="D263" s="273">
        <f t="shared" si="43"/>
        <v>129423427.7641771</v>
      </c>
      <c r="E263" s="345"/>
      <c r="F263" s="271">
        <v>17</v>
      </c>
      <c r="G263" s="354">
        <f t="shared" si="44"/>
        <v>722.5729874403155</v>
      </c>
      <c r="H263" s="273">
        <f>'N CARRILES HCM'!D57</f>
        <v>401.64197464203539</v>
      </c>
      <c r="I263" s="273">
        <f t="shared" si="45"/>
        <v>105928709.14696087</v>
      </c>
      <c r="J263" s="346"/>
      <c r="K263" s="271">
        <v>17</v>
      </c>
      <c r="L263" s="354">
        <f t="shared" si="46"/>
        <v>980.93093403649095</v>
      </c>
      <c r="M263" s="273">
        <f>'N CARRILES HCM'!D94</f>
        <v>803.28394928407079</v>
      </c>
      <c r="N263" s="273">
        <f t="shared" si="47"/>
        <v>287607617.25372684</v>
      </c>
      <c r="O263">
        <f t="shared" si="48"/>
        <v>143803808.62686342</v>
      </c>
    </row>
    <row r="264" spans="1:15" x14ac:dyDescent="0.25">
      <c r="A264" s="271">
        <v>18</v>
      </c>
      <c r="B264" s="354">
        <f t="shared" si="42"/>
        <v>882.83784063284202</v>
      </c>
      <c r="C264" s="273">
        <f>'N CARRILES HCM'!D21</f>
        <v>413.69123388129651</v>
      </c>
      <c r="D264" s="273">
        <f t="shared" si="43"/>
        <v>133306130.59710243</v>
      </c>
      <c r="E264" s="345"/>
      <c r="F264" s="271">
        <v>18</v>
      </c>
      <c r="G264" s="354">
        <f t="shared" si="44"/>
        <v>726.42036944993799</v>
      </c>
      <c r="H264" s="273">
        <f>'N CARRILES HCM'!D58</f>
        <v>413.69123388129651</v>
      </c>
      <c r="I264" s="273">
        <f t="shared" si="45"/>
        <v>109687514.71830201</v>
      </c>
      <c r="J264" s="346"/>
      <c r="K264" s="271">
        <v>18</v>
      </c>
      <c r="L264" s="354">
        <f t="shared" si="46"/>
        <v>980.93093403649095</v>
      </c>
      <c r="M264" s="273">
        <f>'N CARRILES HCM'!D95</f>
        <v>827.38246776259302</v>
      </c>
      <c r="N264" s="273">
        <f t="shared" si="47"/>
        <v>296235845.7713387</v>
      </c>
      <c r="O264">
        <f t="shared" si="48"/>
        <v>148117922.88566935</v>
      </c>
    </row>
    <row r="265" spans="1:15" x14ac:dyDescent="0.25">
      <c r="A265" s="271">
        <v>19</v>
      </c>
      <c r="B265" s="354">
        <f t="shared" si="42"/>
        <v>882.83784063284202</v>
      </c>
      <c r="C265" s="273">
        <f>'N CARRILES HCM'!D22</f>
        <v>426.10197089773538</v>
      </c>
      <c r="D265" s="273">
        <f t="shared" si="43"/>
        <v>137305314.51501548</v>
      </c>
      <c r="E265" s="345"/>
      <c r="F265" s="271">
        <v>19</v>
      </c>
      <c r="G265" s="354">
        <f t="shared" si="44"/>
        <v>730.42624248775883</v>
      </c>
      <c r="H265" s="273">
        <f>'N CARRILES HCM'!D59</f>
        <v>426.10197089773538</v>
      </c>
      <c r="I265" s="273">
        <f t="shared" si="45"/>
        <v>113601162.45460334</v>
      </c>
      <c r="J265" s="346"/>
      <c r="K265" s="271">
        <v>19</v>
      </c>
      <c r="L265" s="354">
        <f t="shared" si="46"/>
        <v>980.93093403649095</v>
      </c>
      <c r="M265" s="273">
        <f>'N CARRILES HCM'!D96</f>
        <v>852.20394179547077</v>
      </c>
      <c r="N265" s="273">
        <f t="shared" si="47"/>
        <v>305122921.14447886</v>
      </c>
      <c r="O265">
        <f t="shared" si="48"/>
        <v>152561460.57223943</v>
      </c>
    </row>
    <row r="266" spans="1:15" x14ac:dyDescent="0.25">
      <c r="A266" s="271">
        <v>20</v>
      </c>
      <c r="B266" s="354">
        <f t="shared" si="42"/>
        <v>882.83784063284202</v>
      </c>
      <c r="C266" s="273">
        <f>'N CARRILES HCM'!D23</f>
        <v>438.8850300246674</v>
      </c>
      <c r="D266" s="273">
        <f t="shared" si="43"/>
        <v>141424473.95046595</v>
      </c>
      <c r="E266" s="345"/>
      <c r="F266" s="271">
        <v>20</v>
      </c>
      <c r="G266" s="354">
        <f t="shared" si="44"/>
        <v>734.59874468008331</v>
      </c>
      <c r="H266" s="273">
        <f>'N CARRILES HCM'!D60</f>
        <v>438.8850300246674</v>
      </c>
      <c r="I266" s="273">
        <f t="shared" si="45"/>
        <v>117677603.12197548</v>
      </c>
      <c r="J266" s="346"/>
      <c r="K266" s="271">
        <v>20</v>
      </c>
      <c r="L266" s="354">
        <f t="shared" si="46"/>
        <v>980.93093403649095</v>
      </c>
      <c r="M266" s="273">
        <f>'N CARRILES HCM'!D97</f>
        <v>877.7700600493348</v>
      </c>
      <c r="N266" s="273">
        <f t="shared" si="47"/>
        <v>314276608.77881318</v>
      </c>
      <c r="O266">
        <f t="shared" si="48"/>
        <v>157138304.38940659</v>
      </c>
    </row>
    <row r="267" spans="1:15" x14ac:dyDescent="0.25">
      <c r="A267" s="271">
        <v>21</v>
      </c>
      <c r="B267" s="354">
        <f t="shared" si="42"/>
        <v>882.83784063284202</v>
      </c>
      <c r="C267" s="273">
        <f>'N CARRILES HCM'!D24</f>
        <v>452.05158092540739</v>
      </c>
      <c r="D267" s="273">
        <f t="shared" si="43"/>
        <v>145667208.16897991</v>
      </c>
      <c r="E267" s="345"/>
      <c r="F267" s="271">
        <v>21</v>
      </c>
      <c r="G267" s="354">
        <f t="shared" si="44"/>
        <v>738.94655369078839</v>
      </c>
      <c r="H267" s="273">
        <f>'N CARRILES HCM'!D61</f>
        <v>452.05158092540739</v>
      </c>
      <c r="I267" s="273">
        <f t="shared" si="45"/>
        <v>121925314.60258535</v>
      </c>
      <c r="J267" s="346"/>
      <c r="K267" s="271">
        <v>21</v>
      </c>
      <c r="L267" s="354">
        <f t="shared" si="46"/>
        <v>980.93093403649095</v>
      </c>
      <c r="M267" s="273">
        <f>'N CARRILES HCM'!D98</f>
        <v>904.10316185081479</v>
      </c>
      <c r="N267" s="273">
        <f t="shared" si="47"/>
        <v>323704907.04217756</v>
      </c>
      <c r="O267">
        <f t="shared" si="48"/>
        <v>161852453.52108878</v>
      </c>
    </row>
    <row r="268" spans="1:15" x14ac:dyDescent="0.25">
      <c r="A268" s="271">
        <v>22</v>
      </c>
      <c r="B268" s="354">
        <f t="shared" si="42"/>
        <v>882.83784063284202</v>
      </c>
      <c r="C268" s="273">
        <f>'N CARRILES HCM'!D25</f>
        <v>465.61312835316966</v>
      </c>
      <c r="D268" s="273">
        <f t="shared" si="43"/>
        <v>150037224.41404933</v>
      </c>
      <c r="E268" s="345"/>
      <c r="F268" s="271">
        <v>22</v>
      </c>
      <c r="G268" s="354">
        <f t="shared" si="44"/>
        <v>743.4789321581269</v>
      </c>
      <c r="H268" s="273">
        <f>'N CARRILES HCM'!D62</f>
        <v>465.61312835316966</v>
      </c>
      <c r="I268" s="273">
        <f t="shared" si="45"/>
        <v>126353346.28538911</v>
      </c>
      <c r="J268" s="346"/>
      <c r="K268" s="271">
        <v>22</v>
      </c>
      <c r="L268" s="354">
        <f t="shared" si="46"/>
        <v>980.93093403649095</v>
      </c>
      <c r="M268" s="273">
        <f>'N CARRILES HCM'!D99</f>
        <v>931.22625670633931</v>
      </c>
      <c r="N268" s="273">
        <f t="shared" si="47"/>
        <v>333416054.25344288</v>
      </c>
      <c r="O268">
        <f t="shared" si="48"/>
        <v>166708027.12672144</v>
      </c>
    </row>
    <row r="269" spans="1:15" x14ac:dyDescent="0.25">
      <c r="A269" s="271">
        <v>23</v>
      </c>
      <c r="B269" s="354">
        <f t="shared" si="42"/>
        <v>882.83784063284202</v>
      </c>
      <c r="C269" s="273">
        <f>'N CARRILES HCM'!D26</f>
        <v>479.58152220376479</v>
      </c>
      <c r="D269" s="273">
        <f t="shared" si="43"/>
        <v>154538341.14647084</v>
      </c>
      <c r="E269" s="345"/>
      <c r="F269" s="271">
        <v>23</v>
      </c>
      <c r="G269" s="354">
        <f t="shared" si="44"/>
        <v>748.20577781667157</v>
      </c>
      <c r="H269" s="273">
        <f>'N CARRILES HCM'!D63</f>
        <v>479.58152220376479</v>
      </c>
      <c r="I269" s="273">
        <f t="shared" si="45"/>
        <v>130971368.03414448</v>
      </c>
      <c r="J269" s="346"/>
      <c r="K269" s="271">
        <v>23</v>
      </c>
      <c r="L269" s="354">
        <f t="shared" si="46"/>
        <v>980.93093403649095</v>
      </c>
      <c r="M269" s="273">
        <f>'N CARRILES HCM'!D100</f>
        <v>959.16304440752958</v>
      </c>
      <c r="N269" s="273">
        <f t="shared" si="47"/>
        <v>343418535.88104624</v>
      </c>
      <c r="O269">
        <f t="shared" si="48"/>
        <v>171709267.94052312</v>
      </c>
    </row>
    <row r="270" spans="1:15" x14ac:dyDescent="0.25">
      <c r="A270" s="271">
        <v>24</v>
      </c>
      <c r="B270" s="354">
        <f t="shared" si="42"/>
        <v>882.83784063284202</v>
      </c>
      <c r="C270" s="273">
        <f>'N CARRILES HCM'!D27</f>
        <v>493.96896786987764</v>
      </c>
      <c r="D270" s="273">
        <f t="shared" si="43"/>
        <v>159174491.38086492</v>
      </c>
      <c r="E270" s="345"/>
      <c r="F270" s="271">
        <v>24</v>
      </c>
      <c r="G270" s="354">
        <f t="shared" si="44"/>
        <v>753.13767887818381</v>
      </c>
      <c r="H270" s="273">
        <f>'N CARRILES HCM'!D64</f>
        <v>493.96896786987764</v>
      </c>
      <c r="I270" s="273">
        <f t="shared" si="45"/>
        <v>135789724.29327071</v>
      </c>
      <c r="J270" s="346"/>
      <c r="K270" s="271">
        <v>24</v>
      </c>
      <c r="L270" s="354">
        <f t="shared" si="46"/>
        <v>980.93093403649095</v>
      </c>
      <c r="M270" s="273">
        <f>'N CARRILES HCM'!D101</f>
        <v>987.93793573975529</v>
      </c>
      <c r="N270" s="273">
        <f t="shared" si="47"/>
        <v>353721091.95747751</v>
      </c>
      <c r="O270">
        <f t="shared" si="48"/>
        <v>176860545.97873875</v>
      </c>
    </row>
    <row r="271" spans="1:15" x14ac:dyDescent="0.25">
      <c r="A271" s="271">
        <v>25</v>
      </c>
      <c r="B271" s="354">
        <f t="shared" si="42"/>
        <v>882.83784063284202</v>
      </c>
      <c r="C271" s="273">
        <f>'N CARRILES HCM'!D28</f>
        <v>508.78803690597397</v>
      </c>
      <c r="D271" s="273">
        <f t="shared" si="43"/>
        <v>163949726.12229088</v>
      </c>
      <c r="E271" s="345"/>
      <c r="F271" s="271">
        <v>25</v>
      </c>
      <c r="G271" s="354">
        <f t="shared" si="44"/>
        <v>758.28597532690162</v>
      </c>
      <c r="H271" s="273">
        <f>'N CARRILES HCM'!D65</f>
        <v>508.78803690597397</v>
      </c>
      <c r="I271" s="273">
        <f t="shared" si="45"/>
        <v>140819493.97196573</v>
      </c>
      <c r="J271" s="346"/>
      <c r="K271" s="271">
        <v>25</v>
      </c>
      <c r="L271" s="354">
        <f t="shared" si="46"/>
        <v>980.93093403649095</v>
      </c>
      <c r="M271" s="273">
        <f>'N CARRILES HCM'!D102</f>
        <v>1017.5760738119479</v>
      </c>
      <c r="N271" s="273">
        <f t="shared" si="47"/>
        <v>364332724.71620184</v>
      </c>
      <c r="O271">
        <f t="shared" si="48"/>
        <v>182166362.35810092</v>
      </c>
    </row>
    <row r="272" spans="1:15" x14ac:dyDescent="0.25">
      <c r="A272" s="271">
        <v>26</v>
      </c>
      <c r="B272" s="354">
        <f t="shared" si="42"/>
        <v>882.83784063284202</v>
      </c>
      <c r="C272" s="273">
        <f>'N CARRILES HCM'!D29</f>
        <v>524.05167801315326</v>
      </c>
      <c r="D272" s="273">
        <f t="shared" si="43"/>
        <v>168868217.90595961</v>
      </c>
      <c r="E272" s="345"/>
      <c r="F272" s="271">
        <v>26</v>
      </c>
      <c r="G272" s="354">
        <f t="shared" si="44"/>
        <v>761.66896850732292</v>
      </c>
      <c r="H272" s="273">
        <f>'N CARRILES HCM'!D66</f>
        <v>524.05167801315326</v>
      </c>
      <c r="I272" s="273">
        <f t="shared" si="45"/>
        <v>145691173.87843573</v>
      </c>
      <c r="J272" s="346"/>
      <c r="K272" s="271">
        <v>26</v>
      </c>
      <c r="L272" s="354">
        <f t="shared" si="46"/>
        <v>980.93093403649095</v>
      </c>
      <c r="M272" s="273">
        <f>'N CARRILES HCM'!D103</f>
        <v>1048.1033560263065</v>
      </c>
      <c r="N272" s="273">
        <f t="shared" si="47"/>
        <v>375262706.45768797</v>
      </c>
      <c r="O272">
        <f t="shared" si="48"/>
        <v>187631353.22884399</v>
      </c>
    </row>
    <row r="273" spans="1:15" x14ac:dyDescent="0.25">
      <c r="A273" s="271">
        <v>27</v>
      </c>
      <c r="B273" s="354">
        <f t="shared" si="42"/>
        <v>882.83784063284202</v>
      </c>
      <c r="C273" s="273">
        <f>'N CARRILES HCM'!D30</f>
        <v>539.77322835354778</v>
      </c>
      <c r="D273" s="273">
        <f t="shared" si="43"/>
        <v>173934264.44313839</v>
      </c>
      <c r="E273" s="345"/>
      <c r="F273" s="271">
        <v>27</v>
      </c>
      <c r="G273" s="354">
        <f t="shared" si="44"/>
        <v>767.19748882807994</v>
      </c>
      <c r="H273" s="273">
        <f>'N CARRILES HCM'!D67</f>
        <v>539.77322835354778</v>
      </c>
      <c r="I273" s="273">
        <f t="shared" si="45"/>
        <v>151151122.84525567</v>
      </c>
      <c r="J273" s="346"/>
      <c r="K273" s="271">
        <v>27</v>
      </c>
      <c r="L273" s="354">
        <f t="shared" si="46"/>
        <v>980.93093403649095</v>
      </c>
      <c r="M273" s="273">
        <f>'N CARRILES HCM'!D104</f>
        <v>1079.5464567070956</v>
      </c>
      <c r="N273" s="273">
        <f t="shared" si="47"/>
        <v>386520587.65141857</v>
      </c>
      <c r="O273">
        <f t="shared" si="48"/>
        <v>193260293.82570928</v>
      </c>
    </row>
    <row r="274" spans="1:15" x14ac:dyDescent="0.25">
      <c r="A274" s="271">
        <v>28</v>
      </c>
      <c r="B274" s="354">
        <f t="shared" si="42"/>
        <v>882.83784063284202</v>
      </c>
      <c r="C274" s="273">
        <f>'N CARRILES HCM'!D31</f>
        <v>555.96642520415423</v>
      </c>
      <c r="D274" s="273">
        <f t="shared" si="43"/>
        <v>179152292.37643254</v>
      </c>
      <c r="E274" s="345"/>
      <c r="F274" s="271">
        <v>28</v>
      </c>
      <c r="G274" s="354">
        <f t="shared" si="44"/>
        <v>772.97640118456354</v>
      </c>
      <c r="H274" s="273">
        <f>'N CARRILES HCM'!D68</f>
        <v>555.96642520415423</v>
      </c>
      <c r="I274" s="273">
        <f t="shared" si="45"/>
        <v>156858358.1848202</v>
      </c>
      <c r="J274" s="346"/>
      <c r="K274" s="271">
        <v>28</v>
      </c>
      <c r="L274" s="354">
        <f t="shared" si="46"/>
        <v>980.93093403649095</v>
      </c>
      <c r="M274" s="273">
        <f>'N CARRILES HCM'!D105</f>
        <v>1111.9328504083085</v>
      </c>
      <c r="N274" s="273">
        <f t="shared" si="47"/>
        <v>398116205.28096116</v>
      </c>
      <c r="O274">
        <f t="shared" si="48"/>
        <v>199058102.64048058</v>
      </c>
    </row>
    <row r="275" spans="1:15" x14ac:dyDescent="0.25">
      <c r="A275" s="271">
        <v>29</v>
      </c>
      <c r="B275" s="354">
        <f t="shared" si="42"/>
        <v>882.83784063284202</v>
      </c>
      <c r="C275" s="273">
        <f>'N CARRILES HCM'!D32</f>
        <v>572.64541796027879</v>
      </c>
      <c r="D275" s="273">
        <f t="shared" si="43"/>
        <v>184526861.14772549</v>
      </c>
      <c r="E275" s="47"/>
      <c r="F275" s="271">
        <v>29</v>
      </c>
      <c r="G275" s="354">
        <f t="shared" si="44"/>
        <v>779.02040869666587</v>
      </c>
      <c r="H275" s="273">
        <f>'N CARRILES HCM'!D69</f>
        <v>572.64541796027879</v>
      </c>
      <c r="I275" s="273">
        <f t="shared" si="45"/>
        <v>162827400.65125665</v>
      </c>
      <c r="J275" s="47"/>
      <c r="K275" s="271">
        <v>29</v>
      </c>
      <c r="L275" s="354">
        <f t="shared" si="46"/>
        <v>980.93093403649095</v>
      </c>
      <c r="M275" s="273">
        <f>'N CARRILES HCM'!D106</f>
        <v>1145.2908359205576</v>
      </c>
      <c r="N275" s="273">
        <f t="shared" si="47"/>
        <v>410059691.43938988</v>
      </c>
      <c r="O275">
        <f t="shared" si="48"/>
        <v>205029845.71969494</v>
      </c>
    </row>
    <row r="276" spans="1:15" x14ac:dyDescent="0.25">
      <c r="A276" s="271">
        <v>30</v>
      </c>
      <c r="B276" s="354">
        <f t="shared" si="42"/>
        <v>882.83784063284202</v>
      </c>
      <c r="C276" s="273">
        <f>'N CARRILES HCM'!D33</f>
        <v>589.82478049908718</v>
      </c>
      <c r="D276" s="273">
        <f t="shared" si="43"/>
        <v>190062666.98215726</v>
      </c>
      <c r="E276" s="47"/>
      <c r="F276" s="271">
        <v>30</v>
      </c>
      <c r="G276" s="354">
        <f t="shared" si="44"/>
        <v>785.34535237950718</v>
      </c>
      <c r="H276" s="273">
        <f>'N CARRILES HCM'!D70</f>
        <v>589.82478049908718</v>
      </c>
      <c r="I276" s="273">
        <f t="shared" si="45"/>
        <v>169073894.78037569</v>
      </c>
      <c r="J276" s="47"/>
      <c r="K276" s="271">
        <v>30</v>
      </c>
      <c r="L276" s="354">
        <f t="shared" si="46"/>
        <v>980.93093403649095</v>
      </c>
      <c r="M276" s="273">
        <f>'N CARRILES HCM'!D107</f>
        <v>1179.6495609981744</v>
      </c>
      <c r="N276" s="273">
        <f t="shared" si="47"/>
        <v>422361482.18257165</v>
      </c>
      <c r="O276">
        <f t="shared" si="48"/>
        <v>211180741.09128582</v>
      </c>
    </row>
    <row r="277" spans="1:15" x14ac:dyDescent="0.25">
      <c r="A277" s="271">
        <v>31</v>
      </c>
      <c r="B277" s="354">
        <f>G203</f>
        <v>882.83784063284202</v>
      </c>
      <c r="C277" s="273">
        <f>'N CARRILES HCM'!D34</f>
        <v>607.51952391405985</v>
      </c>
      <c r="D277" s="273">
        <f>B277*C277*365</f>
        <v>195764546.99162197</v>
      </c>
      <c r="E277" s="47"/>
      <c r="F277" s="271">
        <v>31</v>
      </c>
      <c r="G277" s="354">
        <f>O203</f>
        <v>791.96832353495302</v>
      </c>
      <c r="H277" s="273">
        <f>'N CARRILES HCM'!D71</f>
        <v>607.51952391405985</v>
      </c>
      <c r="I277" s="273">
        <f>G277*H277*365</f>
        <v>175614719.88717434</v>
      </c>
      <c r="J277" s="47"/>
      <c r="K277" s="271">
        <v>31</v>
      </c>
      <c r="L277" s="354">
        <f>G240</f>
        <v>980.93093403649095</v>
      </c>
      <c r="M277" s="273">
        <f>'N CARRILES HCM'!D108</f>
        <v>1215.0390478281197</v>
      </c>
      <c r="N277" s="273">
        <f>L277*M277*365</f>
        <v>435032326.64804882</v>
      </c>
      <c r="O277">
        <f t="shared" si="48"/>
        <v>217516163.32402441</v>
      </c>
    </row>
    <row r="278" spans="1:15" x14ac:dyDescent="0.25">
      <c r="A278" s="271">
        <v>32</v>
      </c>
      <c r="B278" s="354">
        <f>G204</f>
        <v>882.83784063284202</v>
      </c>
      <c r="C278" s="273">
        <f>'N CARRILES HCM'!D35</f>
        <v>625.74510963148157</v>
      </c>
      <c r="D278" s="273">
        <f>B278*C278*365</f>
        <v>201637483.40137064</v>
      </c>
      <c r="E278" s="47"/>
      <c r="F278" s="271">
        <v>32</v>
      </c>
      <c r="G278" s="354">
        <f>O204</f>
        <v>798.90778975618412</v>
      </c>
      <c r="H278" s="273">
        <f>'N CARRILES HCM'!D72</f>
        <v>625.74510963148157</v>
      </c>
      <c r="I278" s="273">
        <f>G278*H278*365</f>
        <v>182468114.50754625</v>
      </c>
      <c r="J278" s="47"/>
      <c r="K278" s="271">
        <v>32</v>
      </c>
      <c r="L278" s="354">
        <f>G241</f>
        <v>980.93093403649095</v>
      </c>
      <c r="M278" s="273">
        <f>'N CARRILES HCM'!D109</f>
        <v>1251.4902192629631</v>
      </c>
      <c r="N278" s="273">
        <f>L278*M278*365</f>
        <v>448083296.44749022</v>
      </c>
      <c r="O278">
        <f t="shared" si="48"/>
        <v>224041648.22374511</v>
      </c>
    </row>
    <row r="279" spans="1:15" x14ac:dyDescent="0.25">
      <c r="A279" t="s">
        <v>345</v>
      </c>
    </row>
    <row r="280" spans="1:15" x14ac:dyDescent="0.25">
      <c r="E280" s="577" t="s">
        <v>534</v>
      </c>
    </row>
    <row r="281" spans="1:15" x14ac:dyDescent="0.25">
      <c r="A281" s="35" t="s">
        <v>18</v>
      </c>
      <c r="B281" s="357" t="s">
        <v>343</v>
      </c>
      <c r="D281" s="35" t="s">
        <v>18</v>
      </c>
      <c r="E281" s="578"/>
    </row>
    <row r="282" spans="1:15" x14ac:dyDescent="0.25">
      <c r="A282" s="271">
        <v>0</v>
      </c>
      <c r="B282" s="551">
        <f>N246-I246-D246</f>
        <v>21089433.331272006</v>
      </c>
      <c r="D282" s="271">
        <v>0</v>
      </c>
      <c r="E282" s="551">
        <f>O246-I246</f>
        <v>18259193.490009457</v>
      </c>
    </row>
    <row r="283" spans="1:15" x14ac:dyDescent="0.25">
      <c r="A283" s="271">
        <v>1</v>
      </c>
      <c r="B283" s="358">
        <f t="shared" ref="B283:B311" si="49">N247-I247-D247</f>
        <v>21531736.117378995</v>
      </c>
      <c r="D283" s="271">
        <v>1</v>
      </c>
      <c r="E283" s="358">
        <f t="shared" ref="E283:E314" si="50">O247-I247</f>
        <v>18616589.080878571</v>
      </c>
    </row>
    <row r="284" spans="1:15" x14ac:dyDescent="0.25">
      <c r="A284" s="271">
        <v>2</v>
      </c>
      <c r="B284" s="358">
        <f t="shared" si="49"/>
        <v>21974447.680548355</v>
      </c>
      <c r="D284" s="271">
        <v>2</v>
      </c>
      <c r="E284" s="358">
        <f t="shared" si="50"/>
        <v>18971846.232952908</v>
      </c>
    </row>
    <row r="285" spans="1:15" x14ac:dyDescent="0.25">
      <c r="A285" s="271">
        <v>3</v>
      </c>
      <c r="B285" s="358">
        <f t="shared" si="49"/>
        <v>22498711.14767614</v>
      </c>
      <c r="D285" s="271">
        <v>3</v>
      </c>
      <c r="E285" s="358">
        <f t="shared" si="50"/>
        <v>19406031.656652838</v>
      </c>
    </row>
    <row r="286" spans="1:15" x14ac:dyDescent="0.25">
      <c r="A286" s="271">
        <v>4</v>
      </c>
      <c r="B286" s="358">
        <f t="shared" si="49"/>
        <v>22945024.09569478</v>
      </c>
      <c r="D286" s="271">
        <v>4</v>
      </c>
      <c r="E286" s="358">
        <f t="shared" si="50"/>
        <v>19759564.219940782</v>
      </c>
    </row>
    <row r="287" spans="1:15" x14ac:dyDescent="0.25">
      <c r="A287" s="271">
        <v>5</v>
      </c>
      <c r="B287" s="358">
        <f t="shared" si="49"/>
        <v>23389143.724238381</v>
      </c>
      <c r="D287" s="271">
        <v>5</v>
      </c>
      <c r="E287" s="358">
        <f t="shared" si="50"/>
        <v>20108120.052211761</v>
      </c>
    </row>
    <row r="288" spans="1:15" x14ac:dyDescent="0.25">
      <c r="A288" s="271">
        <v>6</v>
      </c>
      <c r="B288" s="358">
        <f t="shared" si="49"/>
        <v>23829882.580380574</v>
      </c>
      <c r="D288" s="271">
        <v>6</v>
      </c>
      <c r="E288" s="358">
        <f t="shared" si="50"/>
        <v>20450428.198193148</v>
      </c>
    </row>
    <row r="289" spans="1:5" x14ac:dyDescent="0.25">
      <c r="A289" s="271">
        <v>7</v>
      </c>
      <c r="B289" s="358">
        <f t="shared" si="49"/>
        <v>24265930.590854689</v>
      </c>
      <c r="D289" s="271">
        <v>7</v>
      </c>
      <c r="E289" s="358">
        <f t="shared" si="50"/>
        <v>20785092.57720165</v>
      </c>
    </row>
    <row r="290" spans="1:5" x14ac:dyDescent="0.25">
      <c r="A290" s="271">
        <v>8</v>
      </c>
      <c r="B290" s="358">
        <f t="shared" si="49"/>
        <v>24695843.961971298</v>
      </c>
      <c r="D290" s="271">
        <v>8</v>
      </c>
      <c r="E290" s="358">
        <f t="shared" si="50"/>
        <v>21110580.807908684</v>
      </c>
    </row>
    <row r="291" spans="1:5" x14ac:dyDescent="0.25">
      <c r="A291" s="271">
        <v>9</v>
      </c>
      <c r="B291" s="358">
        <f t="shared" si="49"/>
        <v>25118033.038591921</v>
      </c>
      <c r="D291" s="271">
        <v>9</v>
      </c>
      <c r="E291" s="358">
        <f t="shared" si="50"/>
        <v>21425211.989907414</v>
      </c>
    </row>
    <row r="292" spans="1:5" x14ac:dyDescent="0.25">
      <c r="A292" s="271">
        <v>10</v>
      </c>
      <c r="B292" s="358">
        <f t="shared" si="49"/>
        <v>25530749.014747053</v>
      </c>
      <c r="D292" s="271">
        <v>10</v>
      </c>
      <c r="E292" s="358">
        <f t="shared" si="50"/>
        <v>21727143.334602013</v>
      </c>
    </row>
    <row r="293" spans="1:5" x14ac:dyDescent="0.25">
      <c r="A293" s="271">
        <v>11</v>
      </c>
      <c r="B293" s="358">
        <f t="shared" si="49"/>
        <v>25932069.376009226</v>
      </c>
      <c r="D293" s="271">
        <v>11</v>
      </c>
      <c r="E293" s="358">
        <f t="shared" si="50"/>
        <v>22014355.525459826</v>
      </c>
    </row>
    <row r="294" spans="1:5" x14ac:dyDescent="0.25">
      <c r="A294" s="271">
        <v>12</v>
      </c>
      <c r="B294" s="358">
        <f t="shared" si="49"/>
        <v>51129167.64950034</v>
      </c>
      <c r="D294" s="271">
        <v>12</v>
      </c>
      <c r="E294" s="358">
        <f t="shared" si="50"/>
        <v>34689279.528491333</v>
      </c>
    </row>
    <row r="295" spans="1:5" x14ac:dyDescent="0.25">
      <c r="A295" s="271">
        <v>13</v>
      </c>
      <c r="B295" s="358">
        <f t="shared" si="49"/>
        <v>52245431.623510316</v>
      </c>
      <c r="D295" s="271">
        <v>13</v>
      </c>
      <c r="E295" s="358">
        <f t="shared" si="50"/>
        <v>35312346.858870998</v>
      </c>
    </row>
    <row r="296" spans="1:5" x14ac:dyDescent="0.25">
      <c r="A296" s="271">
        <v>14</v>
      </c>
      <c r="B296" s="358">
        <f t="shared" si="49"/>
        <v>49084659.314745322</v>
      </c>
      <c r="D296" s="271">
        <v>14</v>
      </c>
      <c r="E296" s="358">
        <f t="shared" si="50"/>
        <v>35924573.709936142</v>
      </c>
    </row>
    <row r="297" spans="1:5" x14ac:dyDescent="0.25">
      <c r="A297" s="271">
        <v>15</v>
      </c>
      <c r="B297" s="358">
        <f t="shared" si="49"/>
        <v>50078280.897329152</v>
      </c>
      <c r="D297" s="271">
        <v>15</v>
      </c>
      <c r="E297" s="358">
        <f t="shared" si="50"/>
        <v>36523392.72437571</v>
      </c>
    </row>
    <row r="298" spans="1:5" x14ac:dyDescent="0.25">
      <c r="A298" s="271">
        <v>16</v>
      </c>
      <c r="B298" s="358">
        <f t="shared" si="49"/>
        <v>51259601.214239836</v>
      </c>
      <c r="D298" s="271">
        <v>16</v>
      </c>
      <c r="E298" s="358">
        <f t="shared" si="50"/>
        <v>37298066.396097764</v>
      </c>
    </row>
    <row r="299" spans="1:5" x14ac:dyDescent="0.25">
      <c r="A299" s="271">
        <v>17</v>
      </c>
      <c r="B299" s="358">
        <f t="shared" si="49"/>
        <v>52255480.342588887</v>
      </c>
      <c r="D299" s="271">
        <v>17</v>
      </c>
      <c r="E299" s="358">
        <f t="shared" si="50"/>
        <v>37875099.479902551</v>
      </c>
    </row>
    <row r="300" spans="1:5" x14ac:dyDescent="0.25">
      <c r="A300" s="271">
        <v>18</v>
      </c>
      <c r="B300" s="358">
        <f t="shared" si="49"/>
        <v>53242200.455934256</v>
      </c>
      <c r="D300" s="271">
        <v>18</v>
      </c>
      <c r="E300" s="358">
        <f t="shared" si="50"/>
        <v>38430408.167367339</v>
      </c>
    </row>
    <row r="301" spans="1:5" x14ac:dyDescent="0.25">
      <c r="A301" s="271">
        <v>19</v>
      </c>
      <c r="B301" s="358">
        <f t="shared" si="49"/>
        <v>54216444.17486003</v>
      </c>
      <c r="D301" s="271">
        <v>19</v>
      </c>
      <c r="E301" s="358">
        <f t="shared" si="50"/>
        <v>38960298.117636085</v>
      </c>
    </row>
    <row r="302" spans="1:5" x14ac:dyDescent="0.25">
      <c r="A302" s="271">
        <v>20</v>
      </c>
      <c r="B302" s="358">
        <f t="shared" si="49"/>
        <v>55174531.706371754</v>
      </c>
      <c r="D302" s="271">
        <v>20</v>
      </c>
      <c r="E302" s="358">
        <f t="shared" si="50"/>
        <v>39460701.26743111</v>
      </c>
    </row>
    <row r="303" spans="1:5" x14ac:dyDescent="0.25">
      <c r="A303" s="271">
        <v>21</v>
      </c>
      <c r="B303" s="358">
        <f t="shared" si="49"/>
        <v>56112384.270612299</v>
      </c>
      <c r="D303" s="271">
        <v>21</v>
      </c>
      <c r="E303" s="358">
        <f t="shared" si="50"/>
        <v>39927138.918503433</v>
      </c>
    </row>
    <row r="304" spans="1:5" x14ac:dyDescent="0.25">
      <c r="A304" s="271">
        <v>22</v>
      </c>
      <c r="B304" s="358">
        <f t="shared" si="49"/>
        <v>57025483.554004431</v>
      </c>
      <c r="D304" s="271">
        <v>22</v>
      </c>
      <c r="E304" s="358">
        <f t="shared" si="50"/>
        <v>40354680.841332331</v>
      </c>
    </row>
    <row r="305" spans="1:10" x14ac:dyDescent="0.25">
      <c r="A305" s="271">
        <v>23</v>
      </c>
      <c r="B305" s="358">
        <f t="shared" si="49"/>
        <v>57908826.70043093</v>
      </c>
      <c r="D305" s="271">
        <v>23</v>
      </c>
      <c r="E305" s="358">
        <f t="shared" si="50"/>
        <v>40737899.906378642</v>
      </c>
    </row>
    <row r="306" spans="1:10" x14ac:dyDescent="0.25">
      <c r="A306" s="271">
        <v>24</v>
      </c>
      <c r="B306" s="358">
        <f t="shared" si="49"/>
        <v>58756876.283341885</v>
      </c>
      <c r="D306" s="271">
        <v>24</v>
      </c>
      <c r="E306" s="358">
        <f t="shared" si="50"/>
        <v>41070821.685468048</v>
      </c>
    </row>
    <row r="307" spans="1:10" x14ac:dyDescent="0.25">
      <c r="A307" s="271">
        <v>25</v>
      </c>
      <c r="B307" s="358">
        <f t="shared" si="49"/>
        <v>59563504.621945232</v>
      </c>
      <c r="D307" s="271">
        <v>25</v>
      </c>
      <c r="E307" s="358">
        <f t="shared" si="50"/>
        <v>41346868.386135191</v>
      </c>
    </row>
    <row r="308" spans="1:10" x14ac:dyDescent="0.25">
      <c r="A308" s="271">
        <v>26</v>
      </c>
      <c r="B308" s="358">
        <f t="shared" si="49"/>
        <v>60703314.673292637</v>
      </c>
      <c r="D308" s="271">
        <v>26</v>
      </c>
      <c r="E308" s="358">
        <f t="shared" si="50"/>
        <v>41940179.350408256</v>
      </c>
    </row>
    <row r="309" spans="1:10" x14ac:dyDescent="0.25">
      <c r="A309" s="271">
        <v>27</v>
      </c>
      <c r="B309" s="358">
        <f t="shared" si="49"/>
        <v>61435200.363024503</v>
      </c>
      <c r="D309" s="271">
        <v>27</v>
      </c>
      <c r="E309" s="358">
        <f t="shared" si="50"/>
        <v>42109170.98045361</v>
      </c>
    </row>
    <row r="310" spans="1:10" x14ac:dyDescent="0.25">
      <c r="A310" s="271">
        <v>28</v>
      </c>
      <c r="B310" s="358">
        <f t="shared" si="49"/>
        <v>62105554.719708413</v>
      </c>
      <c r="D310" s="271">
        <v>28</v>
      </c>
      <c r="E310" s="358">
        <f t="shared" si="50"/>
        <v>42199744.455660373</v>
      </c>
    </row>
    <row r="311" spans="1:10" x14ac:dyDescent="0.25">
      <c r="A311" s="271">
        <v>29</v>
      </c>
      <c r="B311" s="358">
        <f t="shared" si="49"/>
        <v>62705429.640407741</v>
      </c>
      <c r="D311" s="271">
        <v>29</v>
      </c>
      <c r="E311" s="358">
        <f t="shared" si="50"/>
        <v>42202445.068438292</v>
      </c>
    </row>
    <row r="312" spans="1:10" x14ac:dyDescent="0.25">
      <c r="A312" s="271">
        <v>30</v>
      </c>
      <c r="B312" s="358">
        <f>N276-I276-D276</f>
        <v>63224920.4200387</v>
      </c>
      <c r="D312" s="271">
        <v>30</v>
      </c>
      <c r="E312" s="358">
        <f t="shared" si="50"/>
        <v>42106846.310910136</v>
      </c>
    </row>
    <row r="313" spans="1:10" x14ac:dyDescent="0.25">
      <c r="A313" s="271">
        <v>31</v>
      </c>
      <c r="B313" s="358">
        <f>N277-I277-D277</f>
        <v>63653059.769252509</v>
      </c>
      <c r="D313" s="271">
        <v>31</v>
      </c>
      <c r="E313" s="358">
        <f t="shared" si="50"/>
        <v>41901443.436850071</v>
      </c>
      <c r="F313" s="47"/>
      <c r="G313" s="47"/>
      <c r="H313" s="47"/>
      <c r="I313" s="47"/>
      <c r="J313" s="47"/>
    </row>
    <row r="314" spans="1:10" x14ac:dyDescent="0.25">
      <c r="A314" s="271">
        <v>32</v>
      </c>
      <c r="B314" s="358">
        <f>N278-I278-D278</f>
        <v>63977698.538573325</v>
      </c>
      <c r="D314" s="271">
        <v>32</v>
      </c>
      <c r="E314" s="358">
        <f t="shared" si="50"/>
        <v>41573533.716198862</v>
      </c>
      <c r="F314" s="47"/>
      <c r="G314" s="47"/>
      <c r="H314" s="47"/>
      <c r="I314" s="47"/>
      <c r="J314" s="47"/>
    </row>
    <row r="315" spans="1:10" x14ac:dyDescent="0.25">
      <c r="B315" s="47"/>
      <c r="F315" s="47"/>
      <c r="G315" s="47"/>
      <c r="H315" s="47"/>
      <c r="I315" s="47"/>
      <c r="J315" s="47"/>
    </row>
    <row r="316" spans="1:10" x14ac:dyDescent="0.25">
      <c r="A316" s="360" t="s">
        <v>344</v>
      </c>
      <c r="B316" s="360"/>
      <c r="D316" s="360" t="s">
        <v>344</v>
      </c>
      <c r="E316" s="360"/>
      <c r="F316" s="47"/>
      <c r="G316" s="47"/>
      <c r="H316" s="47"/>
      <c r="I316" s="47"/>
      <c r="J316" s="47"/>
    </row>
    <row r="317" spans="1:10" x14ac:dyDescent="0.25">
      <c r="A317" s="35" t="s">
        <v>18</v>
      </c>
      <c r="B317" s="357" t="s">
        <v>343</v>
      </c>
      <c r="D317" s="35" t="s">
        <v>18</v>
      </c>
      <c r="E317" s="357" t="s">
        <v>343</v>
      </c>
      <c r="F317" s="47"/>
      <c r="G317" s="47"/>
      <c r="H317" s="47"/>
      <c r="I317" s="47"/>
      <c r="J317" s="47"/>
    </row>
    <row r="318" spans="1:10" x14ac:dyDescent="0.25">
      <c r="A318" s="271">
        <v>0</v>
      </c>
      <c r="B318" s="358">
        <f t="shared" ref="B318:B350" si="51">B282+B128</f>
        <v>45563590.530525848</v>
      </c>
      <c r="D318" s="271">
        <v>0</v>
      </c>
      <c r="E318" s="358">
        <f>E282+E128</f>
        <v>39448874.824094459</v>
      </c>
      <c r="F318" s="47"/>
      <c r="G318" s="47"/>
      <c r="H318" s="47"/>
      <c r="I318" s="47"/>
      <c r="J318" s="47"/>
    </row>
    <row r="319" spans="1:10" x14ac:dyDescent="0.25">
      <c r="A319" s="271">
        <v>1</v>
      </c>
      <c r="B319" s="358">
        <f t="shared" si="51"/>
        <v>46519182.969645888</v>
      </c>
      <c r="D319" s="271">
        <v>1</v>
      </c>
      <c r="E319" s="358">
        <f t="shared" ref="E319:E350" si="52">E283+E129</f>
        <v>40221025.792021558</v>
      </c>
      <c r="F319" s="47"/>
      <c r="G319" s="47"/>
      <c r="H319" s="47"/>
      <c r="I319" s="47"/>
      <c r="J319" s="47"/>
    </row>
    <row r="320" spans="1:10" x14ac:dyDescent="0.25">
      <c r="A320" s="271">
        <v>2</v>
      </c>
      <c r="B320" s="358">
        <f t="shared" si="51"/>
        <v>47475658.569085881</v>
      </c>
      <c r="D320" s="271">
        <v>2</v>
      </c>
      <c r="E320" s="358">
        <f t="shared" si="52"/>
        <v>40988556.676132798</v>
      </c>
      <c r="F320" s="47"/>
      <c r="G320" s="47"/>
      <c r="H320" s="47"/>
      <c r="I320" s="47"/>
      <c r="J320" s="47"/>
    </row>
    <row r="321" spans="1:10" x14ac:dyDescent="0.25">
      <c r="A321" s="271">
        <v>3</v>
      </c>
      <c r="B321" s="358">
        <f t="shared" si="51"/>
        <v>48608326.553621203</v>
      </c>
      <c r="D321" s="271">
        <v>3</v>
      </c>
      <c r="E321" s="358">
        <f t="shared" si="52"/>
        <v>41926611.603879541</v>
      </c>
      <c r="F321" s="47"/>
      <c r="G321" s="47"/>
      <c r="H321" s="47"/>
      <c r="I321" s="47"/>
      <c r="J321" s="47"/>
    </row>
    <row r="322" spans="1:10" x14ac:dyDescent="0.25">
      <c r="A322" s="271">
        <v>4</v>
      </c>
      <c r="B322" s="358">
        <f t="shared" si="51"/>
        <v>49572582.922797307</v>
      </c>
      <c r="D322" s="271">
        <v>4</v>
      </c>
      <c r="E322" s="358">
        <f t="shared" si="52"/>
        <v>42690416.524563402</v>
      </c>
      <c r="F322" s="47"/>
      <c r="G322" s="47"/>
      <c r="H322" s="47"/>
      <c r="I322" s="47"/>
      <c r="J322" s="47"/>
    </row>
    <row r="323" spans="1:10" x14ac:dyDescent="0.25">
      <c r="A323" s="271">
        <v>5</v>
      </c>
      <c r="B323" s="358">
        <f t="shared" si="51"/>
        <v>50532100.638786554</v>
      </c>
      <c r="D323" s="271">
        <v>5</v>
      </c>
      <c r="E323" s="358">
        <f t="shared" si="52"/>
        <v>43443469.248605624</v>
      </c>
      <c r="F323" s="47"/>
      <c r="G323" s="47"/>
      <c r="H323" s="47"/>
      <c r="I323" s="47"/>
      <c r="J323" s="47"/>
    </row>
    <row r="324" spans="1:10" x14ac:dyDescent="0.25">
      <c r="A324" s="271">
        <v>6</v>
      </c>
      <c r="B324" s="358">
        <f t="shared" si="51"/>
        <v>51484314.21687156</v>
      </c>
      <c r="D324" s="271">
        <v>6</v>
      </c>
      <c r="E324" s="358">
        <f t="shared" si="52"/>
        <v>44183023.884985194</v>
      </c>
      <c r="F324" s="47"/>
      <c r="G324" s="47"/>
      <c r="H324" s="47"/>
      <c r="I324" s="47"/>
      <c r="J324" s="47"/>
    </row>
    <row r="325" spans="1:10" x14ac:dyDescent="0.25">
      <c r="A325" s="271">
        <v>7</v>
      </c>
      <c r="B325" s="358">
        <f t="shared" si="51"/>
        <v>52426393.251846477</v>
      </c>
      <c r="D325" s="271">
        <v>7</v>
      </c>
      <c r="E325" s="358">
        <f t="shared" si="52"/>
        <v>44906064.210003555</v>
      </c>
      <c r="F325" s="47"/>
      <c r="G325" s="47"/>
      <c r="H325" s="47"/>
      <c r="I325" s="47"/>
      <c r="J325" s="47"/>
    </row>
    <row r="326" spans="1:10" x14ac:dyDescent="0.25">
      <c r="A326" s="271">
        <v>8</v>
      </c>
      <c r="B326" s="358">
        <f t="shared" si="51"/>
        <v>53355218.436357647</v>
      </c>
      <c r="D326" s="271">
        <v>8</v>
      </c>
      <c r="E326" s="358">
        <f t="shared" si="52"/>
        <v>45609279.523259461</v>
      </c>
      <c r="F326" s="47"/>
      <c r="G326" s="47"/>
      <c r="H326" s="47"/>
      <c r="I326" s="47"/>
      <c r="J326" s="47"/>
    </row>
    <row r="327" spans="1:10" x14ac:dyDescent="0.25">
      <c r="A327" s="271">
        <v>9</v>
      </c>
      <c r="B327" s="358">
        <f t="shared" si="51"/>
        <v>54267355.330291107</v>
      </c>
      <c r="D327" s="271">
        <v>9</v>
      </c>
      <c r="E327" s="358">
        <f t="shared" si="52"/>
        <v>46289038.249799937</v>
      </c>
      <c r="F327" s="47"/>
      <c r="G327" s="47"/>
      <c r="H327" s="47"/>
      <c r="I327" s="47"/>
      <c r="J327" s="47"/>
    </row>
    <row r="328" spans="1:10" x14ac:dyDescent="0.25">
      <c r="A328" s="271">
        <v>10</v>
      </c>
      <c r="B328" s="358">
        <f t="shared" si="51"/>
        <v>55159025.649144769</v>
      </c>
      <c r="D328" s="271">
        <v>10</v>
      </c>
      <c r="E328" s="358">
        <f t="shared" si="52"/>
        <v>46941359.056238875</v>
      </c>
      <c r="F328" s="47"/>
      <c r="G328" s="47"/>
      <c r="H328" s="47"/>
      <c r="I328" s="47"/>
      <c r="J328" s="47"/>
    </row>
    <row r="329" spans="1:10" x14ac:dyDescent="0.25">
      <c r="A329" s="271">
        <v>11</v>
      </c>
      <c r="B329" s="358">
        <f t="shared" si="51"/>
        <v>56026075.812365502</v>
      </c>
      <c r="D329" s="271">
        <v>11</v>
      </c>
      <c r="E329" s="358">
        <f t="shared" si="52"/>
        <v>47561879.221672416</v>
      </c>
      <c r="F329" s="47"/>
      <c r="G329" s="47"/>
      <c r="H329" s="47"/>
      <c r="I329" s="47"/>
      <c r="J329" s="47"/>
    </row>
    <row r="330" spans="1:10" x14ac:dyDescent="0.25">
      <c r="A330" s="271">
        <v>12</v>
      </c>
      <c r="B330" s="358">
        <f t="shared" si="51"/>
        <v>110464251.09459952</v>
      </c>
      <c r="D330" s="271">
        <v>12</v>
      </c>
      <c r="E330" s="358">
        <f t="shared" si="52"/>
        <v>74945974.28995043</v>
      </c>
      <c r="F330" s="47"/>
      <c r="G330" s="47"/>
      <c r="H330" s="47"/>
      <c r="I330" s="47"/>
      <c r="J330" s="47"/>
    </row>
    <row r="331" spans="1:10" x14ac:dyDescent="0.25">
      <c r="A331" s="271">
        <v>13</v>
      </c>
      <c r="B331" s="358">
        <f t="shared" si="51"/>
        <v>112875932.51992962</v>
      </c>
      <c r="D331" s="271">
        <v>13</v>
      </c>
      <c r="E331" s="358">
        <f t="shared" si="52"/>
        <v>76292107.411141038</v>
      </c>
      <c r="F331" s="47"/>
      <c r="G331" s="47"/>
      <c r="H331" s="47"/>
      <c r="I331" s="47"/>
      <c r="J331" s="47"/>
    </row>
    <row r="332" spans="1:10" x14ac:dyDescent="0.25">
      <c r="A332" s="271">
        <v>14</v>
      </c>
      <c r="B332" s="358">
        <f t="shared" si="51"/>
        <v>106047103.45778309</v>
      </c>
      <c r="D332" s="271">
        <v>14</v>
      </c>
      <c r="E332" s="358">
        <f t="shared" si="52"/>
        <v>77614819.743689179</v>
      </c>
      <c r="F332" s="47"/>
      <c r="G332" s="47"/>
      <c r="H332" s="47"/>
      <c r="I332" s="47"/>
      <c r="J332" s="47"/>
    </row>
    <row r="333" spans="1:10" x14ac:dyDescent="0.25">
      <c r="A333" s="271">
        <v>15</v>
      </c>
      <c r="B333" s="358">
        <f t="shared" si="51"/>
        <v>108193816.75348893</v>
      </c>
      <c r="D333" s="271">
        <v>15</v>
      </c>
      <c r="E333" s="358">
        <f t="shared" si="52"/>
        <v>78908564.527972192</v>
      </c>
      <c r="F333" s="47"/>
      <c r="G333" s="47"/>
      <c r="H333" s="47"/>
      <c r="I333" s="47"/>
      <c r="J333" s="47"/>
    </row>
    <row r="334" spans="1:10" x14ac:dyDescent="0.25">
      <c r="A334" s="271">
        <v>16</v>
      </c>
      <c r="B334" s="358">
        <f t="shared" si="51"/>
        <v>110746052.00607374</v>
      </c>
      <c r="D334" s="271">
        <v>16</v>
      </c>
      <c r="E334" s="358">
        <f t="shared" si="52"/>
        <v>80582242.21379146</v>
      </c>
      <c r="F334" s="47"/>
      <c r="G334" s="47"/>
      <c r="H334" s="47"/>
      <c r="I334" s="47"/>
      <c r="J334" s="47"/>
    </row>
    <row r="335" spans="1:10" x14ac:dyDescent="0.25">
      <c r="A335" s="271">
        <v>17</v>
      </c>
      <c r="B335" s="358">
        <f t="shared" si="51"/>
        <v>112897642.71546982</v>
      </c>
      <c r="D335" s="271">
        <v>17</v>
      </c>
      <c r="E335" s="358">
        <f t="shared" si="52"/>
        <v>81828918.629419088</v>
      </c>
      <c r="F335" s="47"/>
      <c r="G335" s="47"/>
      <c r="H335" s="47"/>
      <c r="I335" s="47"/>
      <c r="J335" s="47"/>
    </row>
    <row r="336" spans="1:10" x14ac:dyDescent="0.25">
      <c r="A336" s="271">
        <v>18</v>
      </c>
      <c r="B336" s="358">
        <f t="shared" si="51"/>
        <v>115029445.42948756</v>
      </c>
      <c r="D336" s="271">
        <v>18</v>
      </c>
      <c r="E336" s="358">
        <f t="shared" si="52"/>
        <v>83028659.620855287</v>
      </c>
      <c r="F336" s="47"/>
      <c r="G336" s="47"/>
      <c r="H336" s="47"/>
      <c r="I336" s="47"/>
      <c r="J336" s="47"/>
    </row>
    <row r="337" spans="1:10" x14ac:dyDescent="0.25">
      <c r="A337" s="271">
        <v>19</v>
      </c>
      <c r="B337" s="358">
        <f t="shared" si="51"/>
        <v>117134292.97037661</v>
      </c>
      <c r="D337" s="271">
        <v>19</v>
      </c>
      <c r="E337" s="358">
        <f t="shared" si="52"/>
        <v>84173483.587485358</v>
      </c>
      <c r="F337" s="47"/>
      <c r="G337" s="47"/>
      <c r="H337" s="47"/>
      <c r="I337" s="47"/>
      <c r="J337" s="47"/>
    </row>
    <row r="338" spans="1:10" x14ac:dyDescent="0.25">
      <c r="A338" s="271">
        <v>20</v>
      </c>
      <c r="B338" s="358">
        <f t="shared" si="51"/>
        <v>119204235.1680871</v>
      </c>
      <c r="D338" s="271">
        <v>20</v>
      </c>
      <c r="E338" s="358">
        <f t="shared" si="52"/>
        <v>85254601.503709167</v>
      </c>
      <c r="F338" s="47"/>
      <c r="G338" s="47"/>
      <c r="H338" s="47"/>
      <c r="I338" s="47"/>
      <c r="J338" s="47"/>
    </row>
    <row r="339" spans="1:10" x14ac:dyDescent="0.25">
      <c r="A339" s="271">
        <v>21</v>
      </c>
      <c r="B339" s="358">
        <f t="shared" si="51"/>
        <v>121230459.84391537</v>
      </c>
      <c r="D339" s="271">
        <v>21</v>
      </c>
      <c r="E339" s="358">
        <f t="shared" si="52"/>
        <v>86262337.16960609</v>
      </c>
      <c r="F339" s="47"/>
      <c r="G339" s="47"/>
      <c r="H339" s="47"/>
      <c r="I339" s="47"/>
      <c r="J339" s="47"/>
    </row>
    <row r="340" spans="1:10" x14ac:dyDescent="0.25">
      <c r="A340" s="271">
        <v>22</v>
      </c>
      <c r="B340" s="358">
        <f t="shared" si="51"/>
        <v>123203205.20926893</v>
      </c>
      <c r="D340" s="271">
        <v>22</v>
      </c>
      <c r="E340" s="358">
        <f t="shared" si="52"/>
        <v>87186038.854730383</v>
      </c>
      <c r="F340" s="47"/>
      <c r="G340" s="47"/>
      <c r="H340" s="47"/>
      <c r="I340" s="47"/>
      <c r="J340" s="47"/>
    </row>
    <row r="341" spans="1:10" x14ac:dyDescent="0.25">
      <c r="A341" s="271">
        <v>23</v>
      </c>
      <c r="B341" s="358">
        <f t="shared" si="51"/>
        <v>125111662.62438774</v>
      </c>
      <c r="D341" s="271">
        <v>23</v>
      </c>
      <c r="E341" s="358">
        <f t="shared" si="52"/>
        <v>88013981.279213056</v>
      </c>
      <c r="F341" s="47"/>
      <c r="G341" s="47"/>
      <c r="H341" s="47"/>
      <c r="I341" s="47"/>
      <c r="J341" s="47"/>
    </row>
    <row r="342" spans="1:10" x14ac:dyDescent="0.25">
      <c r="A342" s="271">
        <v>24</v>
      </c>
      <c r="B342" s="358">
        <f t="shared" si="51"/>
        <v>126943868.51339304</v>
      </c>
      <c r="D342" s="271">
        <v>24</v>
      </c>
      <c r="E342" s="358">
        <f t="shared" si="52"/>
        <v>88733256.727863103</v>
      </c>
      <c r="F342" s="47"/>
      <c r="G342" s="47"/>
      <c r="H342" s="47"/>
      <c r="I342" s="47"/>
      <c r="J342" s="47"/>
    </row>
    <row r="343" spans="1:10" x14ac:dyDescent="0.25">
      <c r="A343" s="271">
        <v>25</v>
      </c>
      <c r="B343" s="358">
        <f t="shared" si="51"/>
        <v>128686584.05975831</v>
      </c>
      <c r="D343" s="271">
        <v>25</v>
      </c>
      <c r="E343" s="358">
        <f t="shared" si="52"/>
        <v>89329653.920662463</v>
      </c>
      <c r="F343" s="47"/>
      <c r="G343" s="47"/>
      <c r="H343" s="47"/>
      <c r="I343" s="47"/>
      <c r="J343" s="47"/>
    </row>
    <row r="344" spans="1:10" x14ac:dyDescent="0.25">
      <c r="A344" s="271">
        <v>26</v>
      </c>
      <c r="B344" s="358">
        <f t="shared" si="51"/>
        <v>131149136.63982984</v>
      </c>
      <c r="D344" s="271">
        <v>26</v>
      </c>
      <c r="E344" s="358">
        <f t="shared" si="52"/>
        <v>90611498.596561074</v>
      </c>
      <c r="F344" s="47"/>
      <c r="G344" s="47"/>
      <c r="H344" s="47"/>
      <c r="I344" s="47"/>
      <c r="J344" s="47"/>
    </row>
    <row r="345" spans="1:10" x14ac:dyDescent="0.25">
      <c r="A345" s="271">
        <v>27</v>
      </c>
      <c r="B345" s="358">
        <f t="shared" si="51"/>
        <v>132730371.15468255</v>
      </c>
      <c r="D345" s="271">
        <v>27</v>
      </c>
      <c r="E345" s="358">
        <f t="shared" si="52"/>
        <v>90976603.970115781</v>
      </c>
      <c r="F345" s="47"/>
      <c r="G345" s="47"/>
      <c r="H345" s="47"/>
      <c r="I345" s="47"/>
      <c r="J345" s="47"/>
    </row>
    <row r="346" spans="1:10" x14ac:dyDescent="0.25">
      <c r="A346" s="271">
        <v>28</v>
      </c>
      <c r="B346" s="358">
        <f t="shared" si="51"/>
        <v>134178667.60430834</v>
      </c>
      <c r="D346" s="271">
        <v>28</v>
      </c>
      <c r="E346" s="358">
        <f t="shared" si="52"/>
        <v>91172287.404204488</v>
      </c>
      <c r="F346" s="47"/>
      <c r="G346" s="47"/>
      <c r="H346" s="47"/>
      <c r="I346" s="47"/>
      <c r="J346" s="47"/>
    </row>
    <row r="347" spans="1:10" x14ac:dyDescent="0.25">
      <c r="A347" s="271">
        <v>29</v>
      </c>
      <c r="B347" s="358">
        <f t="shared" si="51"/>
        <v>135474693.6675477</v>
      </c>
      <c r="D347" s="271">
        <v>29</v>
      </c>
      <c r="E347" s="358">
        <f t="shared" si="52"/>
        <v>91178122.061440766</v>
      </c>
      <c r="F347" s="47"/>
      <c r="G347" s="47"/>
      <c r="H347" s="47"/>
      <c r="I347" s="47"/>
      <c r="J347" s="47"/>
    </row>
    <row r="348" spans="1:10" x14ac:dyDescent="0.25">
      <c r="A348" s="271">
        <v>30</v>
      </c>
      <c r="B348" s="358">
        <f t="shared" si="51"/>
        <v>136597050.29020706</v>
      </c>
      <c r="D348" s="271">
        <v>30</v>
      </c>
      <c r="E348" s="358">
        <f t="shared" si="52"/>
        <v>90971581.535916895</v>
      </c>
      <c r="F348" s="47"/>
      <c r="G348" s="47"/>
      <c r="H348" s="47"/>
      <c r="I348" s="47"/>
      <c r="J348" s="47"/>
    </row>
    <row r="349" spans="1:10" x14ac:dyDescent="0.25">
      <c r="A349" s="271">
        <v>31</v>
      </c>
      <c r="B349" s="358">
        <f t="shared" si="51"/>
        <v>137522042.71134797</v>
      </c>
      <c r="D349" s="271">
        <v>31</v>
      </c>
      <c r="E349" s="358">
        <f t="shared" si="52"/>
        <v>90527809.894429147</v>
      </c>
      <c r="F349" s="47"/>
      <c r="G349" s="47"/>
      <c r="H349" s="47"/>
      <c r="I349" s="47"/>
      <c r="J349" s="47"/>
    </row>
    <row r="350" spans="1:10" x14ac:dyDescent="0.25">
      <c r="A350" s="271">
        <v>32</v>
      </c>
      <c r="B350" s="358">
        <f t="shared" si="51"/>
        <v>138223422.76852265</v>
      </c>
      <c r="D350" s="271">
        <v>32</v>
      </c>
      <c r="E350" s="358">
        <f t="shared" si="52"/>
        <v>89819362.967096299</v>
      </c>
      <c r="F350" s="47"/>
      <c r="G350" s="47"/>
      <c r="H350" s="47"/>
      <c r="I350" s="47"/>
      <c r="J350" s="47"/>
    </row>
    <row r="351" spans="1:10" x14ac:dyDescent="0.25">
      <c r="F351" s="47"/>
      <c r="G351" s="47"/>
      <c r="H351" s="47"/>
      <c r="I351" s="47"/>
      <c r="J351" s="47"/>
    </row>
  </sheetData>
  <mergeCells count="8">
    <mergeCell ref="E280:E281"/>
    <mergeCell ref="L240:N240"/>
    <mergeCell ref="I240:K240"/>
    <mergeCell ref="I86:K86"/>
    <mergeCell ref="L86:N86"/>
    <mergeCell ref="O91:P91"/>
    <mergeCell ref="E126:E127"/>
    <mergeCell ref="O245:P245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62"/>
  <sheetViews>
    <sheetView topLeftCell="A199" zoomScale="80" zoomScaleNormal="80" workbookViewId="0">
      <selection activeCell="I169" sqref="I169"/>
    </sheetView>
  </sheetViews>
  <sheetFormatPr baseColWidth="10" defaultRowHeight="15" x14ac:dyDescent="0.25"/>
  <cols>
    <col min="1" max="1" width="18" customWidth="1"/>
    <col min="2" max="2" width="21" customWidth="1"/>
    <col min="7" max="7" width="13.28515625" customWidth="1"/>
    <col min="8" max="8" width="10.28515625" customWidth="1"/>
    <col min="9" max="9" width="14.7109375" customWidth="1"/>
    <col min="11" max="11" width="16.28515625" customWidth="1"/>
    <col min="12" max="12" width="13" customWidth="1"/>
    <col min="13" max="13" width="12.7109375" bestFit="1" customWidth="1"/>
    <col min="14" max="14" width="12" bestFit="1" customWidth="1"/>
  </cols>
  <sheetData>
    <row r="1" spans="1:13" x14ac:dyDescent="0.25">
      <c r="A1" s="67" t="s">
        <v>56</v>
      </c>
      <c r="B1" s="67"/>
      <c r="C1" s="67"/>
      <c r="E1" t="s">
        <v>225</v>
      </c>
      <c r="G1" s="129" t="str">
        <f>'DATOS DE ENTRADA'!C49</f>
        <v>I</v>
      </c>
    </row>
    <row r="2" spans="1:13" x14ac:dyDescent="0.25">
      <c r="A2" s="68" t="s">
        <v>18</v>
      </c>
      <c r="B2" s="68" t="s">
        <v>45</v>
      </c>
      <c r="C2" s="41" t="s">
        <v>46</v>
      </c>
      <c r="D2" s="41" t="s">
        <v>47</v>
      </c>
      <c r="E2" s="41" t="s">
        <v>48</v>
      </c>
      <c r="F2" s="41" t="s">
        <v>49</v>
      </c>
      <c r="G2" s="41" t="s">
        <v>50</v>
      </c>
      <c r="H2" s="41" t="s">
        <v>51</v>
      </c>
      <c r="I2" s="41" t="s">
        <v>52</v>
      </c>
      <c r="J2" s="260" t="s">
        <v>53</v>
      </c>
      <c r="K2" s="151" t="s">
        <v>224</v>
      </c>
      <c r="L2" s="41" t="s">
        <v>218</v>
      </c>
      <c r="M2" s="253" t="s">
        <v>218</v>
      </c>
    </row>
    <row r="3" spans="1:13" x14ac:dyDescent="0.25">
      <c r="A3" s="41">
        <v>2013</v>
      </c>
      <c r="B3" s="41">
        <v>0</v>
      </c>
      <c r="C3" s="84">
        <f>'DATOS DE ENTRADA'!$C$10*'DATOS DE ENTRADA'!C11</f>
        <v>3595.5</v>
      </c>
      <c r="D3" s="84">
        <f>'DATOS DE ENTRADA'!$C$10*'DATOS DE ENTRADA'!C12</f>
        <v>243</v>
      </c>
      <c r="E3" s="84">
        <f>'DATOS DE ENTRADA'!$C$10*'DATOS DE ENTRADA'!C13</f>
        <v>306</v>
      </c>
      <c r="F3" s="84">
        <f>'DATOS DE ENTRADA'!$C$10*'DATOS DE ENTRADA'!C14</f>
        <v>90</v>
      </c>
      <c r="G3" s="84">
        <f>'DATOS DE ENTRADA'!$C$10*'DATOS DE ENTRADA'!C15</f>
        <v>92.25</v>
      </c>
      <c r="H3" s="84">
        <f>'DATOS DE ENTRADA'!$C$10*'DATOS DE ENTRADA'!C16</f>
        <v>45</v>
      </c>
      <c r="I3" s="84">
        <f>'DATOS DE ENTRADA'!$C$10*'DATOS DE ENTRADA'!C17</f>
        <v>128.25</v>
      </c>
      <c r="J3" s="207">
        <f>SUM(C3:I3)</f>
        <v>4500</v>
      </c>
      <c r="K3" s="35" t="str">
        <f t="shared" ref="K3:K33" si="0">IF($G$1="I",U259,IF($G$1="II",V259,IF($G$1="III",W259)))</f>
        <v>C</v>
      </c>
      <c r="L3" s="69">
        <f t="shared" ref="L3:L33" si="1">IF(K3="E",60,M3)</f>
        <v>86.607781901041662</v>
      </c>
      <c r="M3" s="263">
        <f t="shared" ref="M3:M33" si="2">X259</f>
        <v>86.607781901041662</v>
      </c>
    </row>
    <row r="4" spans="1:13" x14ac:dyDescent="0.25">
      <c r="A4" s="41">
        <v>2014</v>
      </c>
      <c r="B4" s="41">
        <v>1</v>
      </c>
      <c r="C4" s="85">
        <f>C3*(1+C36)^$B$4</f>
        <v>3703.3650000000002</v>
      </c>
      <c r="D4" s="85">
        <f t="shared" ref="D4:D33" si="3">$D$3*(1+$D$36)^B4</f>
        <v>250.29000000000002</v>
      </c>
      <c r="E4" s="85">
        <f t="shared" ref="E4:E35" si="4">$E$3*(1+$E$36)^B4</f>
        <v>315.18</v>
      </c>
      <c r="F4" s="85">
        <f t="shared" ref="F4:F33" si="5">$F$3*(1+$F$36)^B4</f>
        <v>92.7</v>
      </c>
      <c r="G4" s="85">
        <f t="shared" ref="G4:G35" si="6">$G$3*(1+$G$36)^B4</f>
        <v>95.017499999999998</v>
      </c>
      <c r="H4" s="85">
        <f t="shared" ref="H4:H33" si="7">$H$3*(1+$H$36)^B4</f>
        <v>46.35</v>
      </c>
      <c r="I4" s="85">
        <f t="shared" ref="I4:I33" si="8">$I$3*(1+$I$36)^B4</f>
        <v>132.0975</v>
      </c>
      <c r="J4" s="207">
        <f t="shared" ref="J4:J35" si="9">SUM(C4:I4)</f>
        <v>4635</v>
      </c>
      <c r="K4" s="35" t="str">
        <f t="shared" si="0"/>
        <v>C</v>
      </c>
      <c r="L4" s="69">
        <f t="shared" si="1"/>
        <v>86.459825358072919</v>
      </c>
      <c r="M4" s="263">
        <f t="shared" si="2"/>
        <v>86.459825358072919</v>
      </c>
    </row>
    <row r="5" spans="1:13" x14ac:dyDescent="0.25">
      <c r="A5" s="41">
        <v>2015</v>
      </c>
      <c r="B5" s="41">
        <v>2</v>
      </c>
      <c r="C5" s="85">
        <f t="shared" ref="C5:C33" si="10">$C$3*(1+$C$36)^B5</f>
        <v>3814.4659499999998</v>
      </c>
      <c r="D5" s="85">
        <f t="shared" si="3"/>
        <v>257.7987</v>
      </c>
      <c r="E5" s="85">
        <f t="shared" si="4"/>
        <v>324.6354</v>
      </c>
      <c r="F5" s="85">
        <f t="shared" si="5"/>
        <v>95.480999999999995</v>
      </c>
      <c r="G5" s="85">
        <f t="shared" si="6"/>
        <v>97.868024999999989</v>
      </c>
      <c r="H5" s="85">
        <f t="shared" si="7"/>
        <v>47.740499999999997</v>
      </c>
      <c r="I5" s="85">
        <f t="shared" si="8"/>
        <v>136.06042499999998</v>
      </c>
      <c r="J5" s="207">
        <f t="shared" si="9"/>
        <v>4774.0499999999984</v>
      </c>
      <c r="K5" s="35" t="str">
        <f t="shared" si="0"/>
        <v>C</v>
      </c>
      <c r="L5" s="69">
        <f t="shared" si="1"/>
        <v>86.307430118815105</v>
      </c>
      <c r="M5" s="263">
        <f t="shared" si="2"/>
        <v>86.307430118815105</v>
      </c>
    </row>
    <row r="6" spans="1:13" x14ac:dyDescent="0.25">
      <c r="A6" s="41">
        <v>2016</v>
      </c>
      <c r="B6" s="41">
        <v>3</v>
      </c>
      <c r="C6" s="85">
        <f t="shared" si="10"/>
        <v>3928.8999285</v>
      </c>
      <c r="D6" s="85">
        <f t="shared" si="3"/>
        <v>265.53266100000002</v>
      </c>
      <c r="E6" s="85">
        <f t="shared" si="4"/>
        <v>334.37446199999999</v>
      </c>
      <c r="F6" s="85">
        <f t="shared" si="5"/>
        <v>98.345429999999993</v>
      </c>
      <c r="G6" s="85">
        <f t="shared" si="6"/>
        <v>100.80406575000001</v>
      </c>
      <c r="H6" s="85">
        <f t="shared" si="7"/>
        <v>49.172714999999997</v>
      </c>
      <c r="I6" s="85">
        <f t="shared" si="8"/>
        <v>140.14223774999999</v>
      </c>
      <c r="J6" s="207">
        <f t="shared" si="9"/>
        <v>4917.2714999999998</v>
      </c>
      <c r="K6" s="35" t="str">
        <f t="shared" si="0"/>
        <v>C</v>
      </c>
      <c r="L6" s="69">
        <f t="shared" si="1"/>
        <v>86.20833721891276</v>
      </c>
      <c r="M6" s="263">
        <f t="shared" si="2"/>
        <v>86.20833721891276</v>
      </c>
    </row>
    <row r="7" spans="1:13" x14ac:dyDescent="0.25">
      <c r="A7" s="41">
        <v>2017</v>
      </c>
      <c r="B7" s="41">
        <v>4</v>
      </c>
      <c r="C7" s="85">
        <f t="shared" si="10"/>
        <v>4046.7669263549997</v>
      </c>
      <c r="D7" s="85">
        <f t="shared" si="3"/>
        <v>273.49864083</v>
      </c>
      <c r="E7" s="85">
        <f t="shared" si="4"/>
        <v>344.40569585999998</v>
      </c>
      <c r="F7" s="85">
        <f t="shared" si="5"/>
        <v>101.2957929</v>
      </c>
      <c r="G7" s="85">
        <f t="shared" si="6"/>
        <v>103.82818772249999</v>
      </c>
      <c r="H7" s="85">
        <f t="shared" si="7"/>
        <v>50.647896449999998</v>
      </c>
      <c r="I7" s="85">
        <f t="shared" si="8"/>
        <v>144.3465048825</v>
      </c>
      <c r="J7" s="207">
        <f t="shared" si="9"/>
        <v>5064.7896450000007</v>
      </c>
      <c r="K7" s="35" t="str">
        <f t="shared" si="0"/>
        <v>C</v>
      </c>
      <c r="L7" s="69">
        <f t="shared" si="1"/>
        <v>86.047197335480149</v>
      </c>
      <c r="M7" s="263">
        <f t="shared" si="2"/>
        <v>86.047197335480149</v>
      </c>
    </row>
    <row r="8" spans="1:13" x14ac:dyDescent="0.25">
      <c r="A8" s="41">
        <v>2018</v>
      </c>
      <c r="B8" s="41">
        <v>5</v>
      </c>
      <c r="C8" s="85">
        <f t="shared" si="10"/>
        <v>4168.1699341456497</v>
      </c>
      <c r="D8" s="85">
        <f t="shared" si="3"/>
        <v>281.70360005489994</v>
      </c>
      <c r="E8" s="85">
        <f t="shared" si="4"/>
        <v>354.73786673579997</v>
      </c>
      <c r="F8" s="85">
        <f t="shared" si="5"/>
        <v>104.33466668699998</v>
      </c>
      <c r="G8" s="85">
        <f t="shared" si="6"/>
        <v>106.94303335417499</v>
      </c>
      <c r="H8" s="85">
        <f t="shared" si="7"/>
        <v>52.16733334349999</v>
      </c>
      <c r="I8" s="85">
        <f t="shared" si="8"/>
        <v>148.67690002897498</v>
      </c>
      <c r="J8" s="207">
        <f t="shared" si="9"/>
        <v>5216.7333343499995</v>
      </c>
      <c r="K8" s="35" t="str">
        <f t="shared" si="0"/>
        <v>C</v>
      </c>
      <c r="L8" s="69">
        <f t="shared" si="1"/>
        <v>85.881223255544555</v>
      </c>
      <c r="M8" s="263">
        <f t="shared" si="2"/>
        <v>85.881223255544555</v>
      </c>
    </row>
    <row r="9" spans="1:13" x14ac:dyDescent="0.25">
      <c r="A9" s="41">
        <v>2019</v>
      </c>
      <c r="B9" s="41">
        <v>6</v>
      </c>
      <c r="C9" s="85">
        <f t="shared" si="10"/>
        <v>4293.2150321700192</v>
      </c>
      <c r="D9" s="85">
        <f t="shared" si="3"/>
        <v>290.15470805654695</v>
      </c>
      <c r="E9" s="85">
        <f t="shared" si="4"/>
        <v>365.38000273787395</v>
      </c>
      <c r="F9" s="85">
        <f t="shared" si="5"/>
        <v>107.46470668760999</v>
      </c>
      <c r="G9" s="85">
        <f t="shared" si="6"/>
        <v>110.15132435480024</v>
      </c>
      <c r="H9" s="85">
        <f t="shared" si="7"/>
        <v>53.732353343804995</v>
      </c>
      <c r="I9" s="85">
        <f t="shared" si="8"/>
        <v>153.13720702984423</v>
      </c>
      <c r="J9" s="207">
        <f t="shared" si="9"/>
        <v>5373.2353343804989</v>
      </c>
      <c r="K9" s="35" t="str">
        <f t="shared" si="0"/>
        <v>C</v>
      </c>
      <c r="L9" s="69">
        <f t="shared" si="1"/>
        <v>85.710269953210883</v>
      </c>
      <c r="M9" s="263">
        <f t="shared" si="2"/>
        <v>85.710269953210883</v>
      </c>
    </row>
    <row r="10" spans="1:13" x14ac:dyDescent="0.25">
      <c r="A10" s="41">
        <v>2020</v>
      </c>
      <c r="B10" s="41">
        <v>7</v>
      </c>
      <c r="C10" s="85">
        <f t="shared" si="10"/>
        <v>4422.0114831351202</v>
      </c>
      <c r="D10" s="85">
        <f t="shared" si="3"/>
        <v>298.85934929824339</v>
      </c>
      <c r="E10" s="85">
        <f t="shared" si="4"/>
        <v>376.34140282001022</v>
      </c>
      <c r="F10" s="85">
        <f t="shared" si="5"/>
        <v>110.68864788823829</v>
      </c>
      <c r="G10" s="85">
        <f t="shared" si="6"/>
        <v>113.45586408544426</v>
      </c>
      <c r="H10" s="85">
        <f t="shared" si="7"/>
        <v>55.344323944119147</v>
      </c>
      <c r="I10" s="85">
        <f t="shared" si="8"/>
        <v>157.73132324073958</v>
      </c>
      <c r="J10" s="207">
        <f t="shared" si="9"/>
        <v>5534.4323944119151</v>
      </c>
      <c r="K10" s="35" t="str">
        <f t="shared" si="0"/>
        <v>C</v>
      </c>
      <c r="L10" s="69">
        <f t="shared" si="1"/>
        <v>85.534188051807206</v>
      </c>
      <c r="M10" s="263">
        <f t="shared" si="2"/>
        <v>85.534188051807206</v>
      </c>
    </row>
    <row r="11" spans="1:13" x14ac:dyDescent="0.25">
      <c r="A11" s="41">
        <v>2021</v>
      </c>
      <c r="B11" s="41">
        <v>8</v>
      </c>
      <c r="C11" s="85">
        <f t="shared" si="10"/>
        <v>4554.6718276291731</v>
      </c>
      <c r="D11" s="85">
        <f t="shared" si="3"/>
        <v>307.82512977719068</v>
      </c>
      <c r="E11" s="85">
        <f t="shared" si="4"/>
        <v>387.63164490461048</v>
      </c>
      <c r="F11" s="85">
        <f t="shared" si="5"/>
        <v>114.00930732488544</v>
      </c>
      <c r="G11" s="85">
        <f t="shared" si="6"/>
        <v>116.85954000800757</v>
      </c>
      <c r="H11" s="85">
        <f t="shared" si="7"/>
        <v>57.00465366244272</v>
      </c>
      <c r="I11" s="85">
        <f t="shared" si="8"/>
        <v>162.46326293796173</v>
      </c>
      <c r="J11" s="207">
        <f t="shared" si="9"/>
        <v>5700.4653662442724</v>
      </c>
      <c r="K11" s="35" t="str">
        <f t="shared" si="0"/>
        <v>C</v>
      </c>
      <c r="L11" s="69">
        <f t="shared" si="1"/>
        <v>85.352823693361429</v>
      </c>
      <c r="M11" s="263">
        <f t="shared" si="2"/>
        <v>85.352823693361429</v>
      </c>
    </row>
    <row r="12" spans="1:13" x14ac:dyDescent="0.25">
      <c r="A12" s="41">
        <v>2022</v>
      </c>
      <c r="B12" s="41">
        <v>9</v>
      </c>
      <c r="C12" s="85">
        <f t="shared" si="10"/>
        <v>4691.3119824580481</v>
      </c>
      <c r="D12" s="85">
        <f t="shared" si="3"/>
        <v>317.05988367050639</v>
      </c>
      <c r="E12" s="85">
        <f t="shared" si="4"/>
        <v>399.26059425174878</v>
      </c>
      <c r="F12" s="85">
        <f t="shared" si="5"/>
        <v>117.429586544632</v>
      </c>
      <c r="G12" s="85">
        <f t="shared" si="6"/>
        <v>120.36532620824781</v>
      </c>
      <c r="H12" s="85">
        <f t="shared" si="7"/>
        <v>58.714793272316001</v>
      </c>
      <c r="I12" s="85">
        <f t="shared" si="8"/>
        <v>167.33716082610061</v>
      </c>
      <c r="J12" s="207">
        <f t="shared" si="9"/>
        <v>5871.4793272316001</v>
      </c>
      <c r="K12" s="35" t="str">
        <f t="shared" si="0"/>
        <v>C</v>
      </c>
      <c r="L12" s="69">
        <f t="shared" si="1"/>
        <v>85.166018404162273</v>
      </c>
      <c r="M12" s="263">
        <f t="shared" si="2"/>
        <v>85.166018404162273</v>
      </c>
    </row>
    <row r="13" spans="1:13" x14ac:dyDescent="0.25">
      <c r="A13" s="41">
        <v>2023</v>
      </c>
      <c r="B13" s="41">
        <v>10</v>
      </c>
      <c r="C13" s="85">
        <f t="shared" si="10"/>
        <v>4832.0513419317895</v>
      </c>
      <c r="D13" s="85">
        <f t="shared" si="3"/>
        <v>326.57168018062157</v>
      </c>
      <c r="E13" s="85">
        <f t="shared" si="4"/>
        <v>411.23841207930127</v>
      </c>
      <c r="F13" s="85">
        <f t="shared" si="5"/>
        <v>120.95247414097096</v>
      </c>
      <c r="G13" s="85">
        <f t="shared" si="6"/>
        <v>123.97628599449523</v>
      </c>
      <c r="H13" s="85">
        <f t="shared" si="7"/>
        <v>60.476237070485482</v>
      </c>
      <c r="I13" s="85">
        <f t="shared" si="8"/>
        <v>172.35727565088362</v>
      </c>
      <c r="J13" s="207">
        <f t="shared" si="9"/>
        <v>6047.6237070485486</v>
      </c>
      <c r="K13" s="35" t="str">
        <f t="shared" si="0"/>
        <v>C</v>
      </c>
      <c r="L13" s="69">
        <f t="shared" si="1"/>
        <v>84.995591963468797</v>
      </c>
      <c r="M13" s="263">
        <f t="shared" si="2"/>
        <v>84.995591963468797</v>
      </c>
    </row>
    <row r="14" spans="1:13" x14ac:dyDescent="0.25">
      <c r="A14" s="41">
        <v>2024</v>
      </c>
      <c r="B14" s="41">
        <v>11</v>
      </c>
      <c r="C14" s="85">
        <f t="shared" si="10"/>
        <v>4977.0128821897433</v>
      </c>
      <c r="D14" s="85">
        <f t="shared" si="3"/>
        <v>336.36883058604025</v>
      </c>
      <c r="E14" s="85">
        <f t="shared" si="4"/>
        <v>423.57556444168034</v>
      </c>
      <c r="F14" s="85">
        <f t="shared" si="5"/>
        <v>124.58104836520009</v>
      </c>
      <c r="G14" s="85">
        <f t="shared" si="6"/>
        <v>127.6955745743301</v>
      </c>
      <c r="H14" s="85">
        <f t="shared" si="7"/>
        <v>62.290524182600045</v>
      </c>
      <c r="I14" s="85">
        <f t="shared" si="8"/>
        <v>177.52799392041013</v>
      </c>
      <c r="J14" s="207">
        <f t="shared" si="9"/>
        <v>6229.0524182600047</v>
      </c>
      <c r="K14" s="35" t="str">
        <f t="shared" si="0"/>
        <v>C</v>
      </c>
      <c r="L14" s="69">
        <f t="shared" si="1"/>
        <v>84.798069722372858</v>
      </c>
      <c r="M14" s="263">
        <f t="shared" si="2"/>
        <v>84.798069722372858</v>
      </c>
    </row>
    <row r="15" spans="1:13" x14ac:dyDescent="0.25">
      <c r="A15" s="41">
        <v>2025</v>
      </c>
      <c r="B15" s="41">
        <v>12</v>
      </c>
      <c r="C15" s="85">
        <f t="shared" si="10"/>
        <v>5126.3232686554356</v>
      </c>
      <c r="D15" s="85">
        <f t="shared" si="3"/>
        <v>346.4598955036214</v>
      </c>
      <c r="E15" s="85">
        <f t="shared" si="4"/>
        <v>436.28283137493065</v>
      </c>
      <c r="F15" s="85">
        <f t="shared" si="5"/>
        <v>128.31847981615607</v>
      </c>
      <c r="G15" s="85">
        <f t="shared" si="6"/>
        <v>131.52644181155998</v>
      </c>
      <c r="H15" s="85">
        <f t="shared" si="7"/>
        <v>64.159239908078035</v>
      </c>
      <c r="I15" s="85">
        <f t="shared" si="8"/>
        <v>182.85383373802242</v>
      </c>
      <c r="J15" s="207">
        <f t="shared" si="9"/>
        <v>6415.9239908078052</v>
      </c>
      <c r="K15" s="35" t="str">
        <f t="shared" si="0"/>
        <v>C</v>
      </c>
      <c r="L15" s="69">
        <f t="shared" si="1"/>
        <v>84.594621814044046</v>
      </c>
      <c r="M15" s="263">
        <f t="shared" si="2"/>
        <v>84.594621814044046</v>
      </c>
    </row>
    <row r="16" spans="1:13" x14ac:dyDescent="0.25">
      <c r="A16" s="41">
        <v>2026</v>
      </c>
      <c r="B16" s="41">
        <v>13</v>
      </c>
      <c r="C16" s="85">
        <f t="shared" si="10"/>
        <v>5280.1129667150981</v>
      </c>
      <c r="D16" s="85">
        <f t="shared" si="3"/>
        <v>356.85369236873004</v>
      </c>
      <c r="E16" s="85">
        <f t="shared" si="4"/>
        <v>449.37131631617854</v>
      </c>
      <c r="F16" s="85">
        <f t="shared" si="5"/>
        <v>132.16803421064074</v>
      </c>
      <c r="G16" s="85">
        <f t="shared" si="6"/>
        <v>135.47223506590677</v>
      </c>
      <c r="H16" s="85">
        <f t="shared" si="7"/>
        <v>66.08401710532037</v>
      </c>
      <c r="I16" s="85">
        <f t="shared" si="8"/>
        <v>188.33944875016309</v>
      </c>
      <c r="J16" s="207">
        <f t="shared" si="9"/>
        <v>6608.4017105320372</v>
      </c>
      <c r="K16" s="35" t="str">
        <f t="shared" si="0"/>
        <v>C</v>
      </c>
      <c r="L16" s="69">
        <f t="shared" si="1"/>
        <v>84.385070468465372</v>
      </c>
      <c r="M16" s="263">
        <f t="shared" si="2"/>
        <v>84.385070468465372</v>
      </c>
    </row>
    <row r="17" spans="1:13" x14ac:dyDescent="0.25">
      <c r="A17" s="41">
        <v>2027</v>
      </c>
      <c r="B17" s="41">
        <v>14</v>
      </c>
      <c r="C17" s="85">
        <f t="shared" si="10"/>
        <v>5438.5163557165515</v>
      </c>
      <c r="D17" s="85">
        <f t="shared" si="3"/>
        <v>367.55930313979195</v>
      </c>
      <c r="E17" s="85">
        <f t="shared" si="4"/>
        <v>462.85245580566396</v>
      </c>
      <c r="F17" s="85">
        <f t="shared" si="5"/>
        <v>136.13307523696</v>
      </c>
      <c r="G17" s="85">
        <f t="shared" si="6"/>
        <v>139.53640211788399</v>
      </c>
      <c r="H17" s="85">
        <f t="shared" si="7"/>
        <v>68.066537618479998</v>
      </c>
      <c r="I17" s="85">
        <f t="shared" si="8"/>
        <v>193.989632212668</v>
      </c>
      <c r="J17" s="207">
        <f t="shared" si="9"/>
        <v>6806.6537618479997</v>
      </c>
      <c r="K17" s="35" t="str">
        <f t="shared" si="0"/>
        <v>C</v>
      </c>
      <c r="L17" s="69">
        <f t="shared" si="1"/>
        <v>84.169232582519328</v>
      </c>
      <c r="M17" s="263">
        <f t="shared" si="2"/>
        <v>84.169232582519328</v>
      </c>
    </row>
    <row r="18" spans="1:13" x14ac:dyDescent="0.25">
      <c r="A18" s="41">
        <v>2028</v>
      </c>
      <c r="B18" s="41">
        <v>15</v>
      </c>
      <c r="C18" s="85">
        <f t="shared" si="10"/>
        <v>5601.6718463880488</v>
      </c>
      <c r="D18" s="85">
        <f t="shared" si="3"/>
        <v>378.58608223398574</v>
      </c>
      <c r="E18" s="85">
        <f t="shared" si="4"/>
        <v>476.73802947983393</v>
      </c>
      <c r="F18" s="85">
        <f t="shared" si="5"/>
        <v>140.2170674940688</v>
      </c>
      <c r="G18" s="85">
        <f t="shared" si="6"/>
        <v>143.72249418142053</v>
      </c>
      <c r="H18" s="85">
        <f t="shared" si="7"/>
        <v>70.1085337470344</v>
      </c>
      <c r="I18" s="85">
        <f t="shared" si="8"/>
        <v>199.80932117904803</v>
      </c>
      <c r="J18" s="207">
        <f t="shared" si="9"/>
        <v>7010.8533747034398</v>
      </c>
      <c r="K18" s="35" t="str">
        <f t="shared" si="0"/>
        <v>C</v>
      </c>
      <c r="L18" s="69">
        <f t="shared" si="1"/>
        <v>83.94691955999491</v>
      </c>
      <c r="M18" s="263">
        <f t="shared" si="2"/>
        <v>83.94691955999491</v>
      </c>
    </row>
    <row r="19" spans="1:13" x14ac:dyDescent="0.25">
      <c r="A19" s="41">
        <v>2029</v>
      </c>
      <c r="B19" s="41">
        <v>16</v>
      </c>
      <c r="C19" s="85">
        <f t="shared" si="10"/>
        <v>5769.722001779689</v>
      </c>
      <c r="D19" s="85">
        <f t="shared" si="3"/>
        <v>389.94366470100528</v>
      </c>
      <c r="E19" s="85">
        <f t="shared" si="4"/>
        <v>491.04017036422886</v>
      </c>
      <c r="F19" s="85">
        <f t="shared" si="5"/>
        <v>144.42357951889085</v>
      </c>
      <c r="G19" s="85">
        <f t="shared" si="6"/>
        <v>148.0341690068631</v>
      </c>
      <c r="H19" s="85">
        <f t="shared" si="7"/>
        <v>72.211789759445423</v>
      </c>
      <c r="I19" s="85">
        <f t="shared" si="8"/>
        <v>205.80360081441944</v>
      </c>
      <c r="J19" s="207">
        <f t="shared" si="9"/>
        <v>7221.1789759445419</v>
      </c>
      <c r="K19" s="35" t="str">
        <f t="shared" si="0"/>
        <v>C</v>
      </c>
      <c r="L19" s="69">
        <f t="shared" si="1"/>
        <v>83.763937146794746</v>
      </c>
      <c r="M19" s="263">
        <f t="shared" si="2"/>
        <v>83.763937146794746</v>
      </c>
    </row>
    <row r="20" spans="1:13" x14ac:dyDescent="0.25">
      <c r="A20" s="41">
        <v>2030</v>
      </c>
      <c r="B20" s="41">
        <v>17</v>
      </c>
      <c r="C20" s="85">
        <f t="shared" si="10"/>
        <v>5942.81366183308</v>
      </c>
      <c r="D20" s="85">
        <f t="shared" si="3"/>
        <v>401.64197464203539</v>
      </c>
      <c r="E20" s="85">
        <f t="shared" si="4"/>
        <v>505.77137547515571</v>
      </c>
      <c r="F20" s="85">
        <f t="shared" si="5"/>
        <v>148.75628690445757</v>
      </c>
      <c r="G20" s="85">
        <f t="shared" si="6"/>
        <v>152.47519407706901</v>
      </c>
      <c r="H20" s="85">
        <f t="shared" si="7"/>
        <v>74.378143452228784</v>
      </c>
      <c r="I20" s="85">
        <f t="shared" si="8"/>
        <v>211.97770883885204</v>
      </c>
      <c r="J20" s="207">
        <f t="shared" si="9"/>
        <v>7437.8143452228787</v>
      </c>
      <c r="K20" s="35" t="str">
        <f t="shared" si="0"/>
        <v>C</v>
      </c>
      <c r="L20" s="69">
        <f t="shared" si="1"/>
        <v>83.528085261198584</v>
      </c>
      <c r="M20" s="263">
        <f t="shared" si="2"/>
        <v>83.528085261198584</v>
      </c>
    </row>
    <row r="21" spans="1:13" x14ac:dyDescent="0.25">
      <c r="A21" s="41">
        <v>2031</v>
      </c>
      <c r="B21" s="41">
        <v>18</v>
      </c>
      <c r="C21" s="85">
        <f t="shared" si="10"/>
        <v>6121.0980716880722</v>
      </c>
      <c r="D21" s="85">
        <f t="shared" si="3"/>
        <v>413.69123388129651</v>
      </c>
      <c r="E21" s="85">
        <f t="shared" si="4"/>
        <v>520.94451673941035</v>
      </c>
      <c r="F21" s="85">
        <f t="shared" si="5"/>
        <v>153.21897551159128</v>
      </c>
      <c r="G21" s="85">
        <f t="shared" si="6"/>
        <v>157.04944989938107</v>
      </c>
      <c r="H21" s="85">
        <f t="shared" si="7"/>
        <v>76.609487755795641</v>
      </c>
      <c r="I21" s="85">
        <f t="shared" si="8"/>
        <v>218.3370401040176</v>
      </c>
      <c r="J21" s="207">
        <f t="shared" si="9"/>
        <v>7660.9487755795644</v>
      </c>
      <c r="K21" s="35" t="str">
        <f t="shared" si="0"/>
        <v>C</v>
      </c>
      <c r="L21" s="69">
        <f t="shared" si="1"/>
        <v>83.285157819034552</v>
      </c>
      <c r="M21" s="263">
        <f t="shared" si="2"/>
        <v>83.285157819034552</v>
      </c>
    </row>
    <row r="22" spans="1:13" x14ac:dyDescent="0.25">
      <c r="A22" s="41">
        <v>2032</v>
      </c>
      <c r="B22" s="41">
        <v>19</v>
      </c>
      <c r="C22" s="85">
        <f t="shared" si="10"/>
        <v>6304.7310138387138</v>
      </c>
      <c r="D22" s="85">
        <f t="shared" si="3"/>
        <v>426.10197089773538</v>
      </c>
      <c r="E22" s="85">
        <f t="shared" si="4"/>
        <v>536.57285224159273</v>
      </c>
      <c r="F22" s="85">
        <f t="shared" si="5"/>
        <v>157.81554477693902</v>
      </c>
      <c r="G22" s="85">
        <f t="shared" si="6"/>
        <v>161.7609333963625</v>
      </c>
      <c r="H22" s="85">
        <f t="shared" si="7"/>
        <v>78.90777238846951</v>
      </c>
      <c r="I22" s="85">
        <f t="shared" si="8"/>
        <v>224.88715130713811</v>
      </c>
      <c r="J22" s="207">
        <f t="shared" si="9"/>
        <v>7890.7772388469511</v>
      </c>
      <c r="K22" s="35" t="str">
        <f t="shared" si="0"/>
        <v>C</v>
      </c>
      <c r="L22" s="69">
        <f t="shared" si="1"/>
        <v>83.034942553605575</v>
      </c>
      <c r="M22" s="263">
        <f t="shared" si="2"/>
        <v>83.034942553605575</v>
      </c>
    </row>
    <row r="23" spans="1:13" x14ac:dyDescent="0.25">
      <c r="A23" s="41">
        <v>2033</v>
      </c>
      <c r="B23" s="41">
        <v>20</v>
      </c>
      <c r="C23" s="85">
        <f t="shared" si="10"/>
        <v>6493.8729442538752</v>
      </c>
      <c r="D23" s="85">
        <f t="shared" si="3"/>
        <v>438.8850300246674</v>
      </c>
      <c r="E23" s="85">
        <f t="shared" si="4"/>
        <v>552.67003780884045</v>
      </c>
      <c r="F23" s="85">
        <f t="shared" si="5"/>
        <v>162.55001112024721</v>
      </c>
      <c r="G23" s="85">
        <f t="shared" si="6"/>
        <v>166.61376139825336</v>
      </c>
      <c r="H23" s="85">
        <f t="shared" si="7"/>
        <v>81.275005560123603</v>
      </c>
      <c r="I23" s="85">
        <f t="shared" si="8"/>
        <v>231.63376584635225</v>
      </c>
      <c r="J23" s="207">
        <f t="shared" si="9"/>
        <v>8127.5005560123609</v>
      </c>
      <c r="K23" s="35" t="str">
        <f t="shared" si="0"/>
        <v>C</v>
      </c>
      <c r="L23" s="69">
        <f t="shared" si="1"/>
        <v>82.77722083021375</v>
      </c>
      <c r="M23" s="263">
        <f t="shared" si="2"/>
        <v>82.77722083021375</v>
      </c>
    </row>
    <row r="24" spans="1:13" x14ac:dyDescent="0.25">
      <c r="A24" s="41">
        <v>2034</v>
      </c>
      <c r="B24" s="41">
        <v>21</v>
      </c>
      <c r="C24" s="85">
        <f t="shared" si="10"/>
        <v>6688.6891325814904</v>
      </c>
      <c r="D24" s="85">
        <f t="shared" si="3"/>
        <v>452.05158092540739</v>
      </c>
      <c r="E24" s="85">
        <f t="shared" si="4"/>
        <v>569.25013894310564</v>
      </c>
      <c r="F24" s="85">
        <f t="shared" si="5"/>
        <v>167.42651145385457</v>
      </c>
      <c r="G24" s="85">
        <f t="shared" si="6"/>
        <v>171.61217424020094</v>
      </c>
      <c r="H24" s="85">
        <f t="shared" si="7"/>
        <v>83.713255726927287</v>
      </c>
      <c r="I24" s="85">
        <f t="shared" si="8"/>
        <v>238.58277882174278</v>
      </c>
      <c r="J24" s="207">
        <f t="shared" si="9"/>
        <v>8371.3255726927291</v>
      </c>
      <c r="K24" s="35" t="str">
        <f t="shared" si="0"/>
        <v>C</v>
      </c>
      <c r="L24" s="69">
        <f t="shared" si="1"/>
        <v>82.511767455120165</v>
      </c>
      <c r="M24" s="263">
        <f t="shared" si="2"/>
        <v>82.511767455120165</v>
      </c>
    </row>
    <row r="25" spans="1:13" x14ac:dyDescent="0.25">
      <c r="A25" s="41">
        <v>2035</v>
      </c>
      <c r="B25" s="41">
        <v>22</v>
      </c>
      <c r="C25" s="85">
        <f t="shared" si="10"/>
        <v>6889.3498065589365</v>
      </c>
      <c r="D25" s="85">
        <f t="shared" si="3"/>
        <v>465.61312835316966</v>
      </c>
      <c r="E25" s="85">
        <f t="shared" si="4"/>
        <v>586.32764311139886</v>
      </c>
      <c r="F25" s="85">
        <f t="shared" si="5"/>
        <v>172.44930679747023</v>
      </c>
      <c r="G25" s="85">
        <f t="shared" si="6"/>
        <v>176.760539467407</v>
      </c>
      <c r="H25" s="85">
        <f t="shared" si="7"/>
        <v>86.224653398735114</v>
      </c>
      <c r="I25" s="85">
        <f t="shared" si="8"/>
        <v>245.74026218639509</v>
      </c>
      <c r="J25" s="207">
        <f t="shared" si="9"/>
        <v>8622.4653398735118</v>
      </c>
      <c r="K25" s="35" t="str">
        <f t="shared" si="0"/>
        <v>C</v>
      </c>
      <c r="L25" s="69">
        <f t="shared" si="1"/>
        <v>82.238350478773768</v>
      </c>
      <c r="M25" s="263">
        <f t="shared" si="2"/>
        <v>82.238350478773768</v>
      </c>
    </row>
    <row r="26" spans="1:13" x14ac:dyDescent="0.25">
      <c r="A26" s="41">
        <v>2036</v>
      </c>
      <c r="B26" s="41">
        <v>23</v>
      </c>
      <c r="C26" s="85">
        <f t="shared" si="10"/>
        <v>7096.030300755705</v>
      </c>
      <c r="D26" s="85">
        <f t="shared" si="3"/>
        <v>479.58152220376479</v>
      </c>
      <c r="E26" s="85">
        <f t="shared" si="4"/>
        <v>603.91747240474081</v>
      </c>
      <c r="F26" s="85">
        <f t="shared" si="5"/>
        <v>177.62278600139436</v>
      </c>
      <c r="G26" s="85">
        <f t="shared" si="6"/>
        <v>182.06335565142922</v>
      </c>
      <c r="H26" s="85">
        <f t="shared" si="7"/>
        <v>88.81139300069718</v>
      </c>
      <c r="I26" s="85">
        <f t="shared" si="8"/>
        <v>253.11247005198697</v>
      </c>
      <c r="J26" s="207">
        <f t="shared" si="9"/>
        <v>8881.1393000697171</v>
      </c>
      <c r="K26" s="35" t="str">
        <f t="shared" si="0"/>
        <v>D</v>
      </c>
      <c r="L26" s="69">
        <f t="shared" si="1"/>
        <v>81.956730993136986</v>
      </c>
      <c r="M26" s="263">
        <f t="shared" si="2"/>
        <v>81.956730993136986</v>
      </c>
    </row>
    <row r="27" spans="1:13" x14ac:dyDescent="0.25">
      <c r="A27" s="41">
        <v>2037</v>
      </c>
      <c r="B27" s="41">
        <v>24</v>
      </c>
      <c r="C27" s="85">
        <f t="shared" si="10"/>
        <v>7308.9112097783745</v>
      </c>
      <c r="D27" s="85">
        <f t="shared" si="3"/>
        <v>493.96896786987764</v>
      </c>
      <c r="E27" s="85">
        <f t="shared" si="4"/>
        <v>622.03499657688292</v>
      </c>
      <c r="F27" s="85">
        <f t="shared" si="5"/>
        <v>182.95146958143616</v>
      </c>
      <c r="G27" s="85">
        <f t="shared" si="6"/>
        <v>187.52525632097206</v>
      </c>
      <c r="H27" s="85">
        <f t="shared" si="7"/>
        <v>91.475734790718079</v>
      </c>
      <c r="I27" s="85">
        <f t="shared" si="8"/>
        <v>260.70584415354654</v>
      </c>
      <c r="J27" s="207">
        <f t="shared" si="9"/>
        <v>9147.5734790718088</v>
      </c>
      <c r="K27" s="35" t="str">
        <f t="shared" si="0"/>
        <v>D</v>
      </c>
      <c r="L27" s="69">
        <f t="shared" si="1"/>
        <v>81.666662922931096</v>
      </c>
      <c r="M27" s="263">
        <f t="shared" si="2"/>
        <v>81.666662922931096</v>
      </c>
    </row>
    <row r="28" spans="1:13" x14ac:dyDescent="0.25">
      <c r="A28" s="41">
        <v>2038</v>
      </c>
      <c r="B28" s="41">
        <v>25</v>
      </c>
      <c r="C28" s="85">
        <f t="shared" si="10"/>
        <v>7528.1785460717256</v>
      </c>
      <c r="D28" s="85">
        <f t="shared" si="3"/>
        <v>508.78803690597397</v>
      </c>
      <c r="E28" s="85">
        <f t="shared" si="4"/>
        <v>640.69604647418942</v>
      </c>
      <c r="F28" s="85">
        <f t="shared" si="5"/>
        <v>188.44001366887923</v>
      </c>
      <c r="G28" s="85">
        <f t="shared" si="6"/>
        <v>193.15101401060122</v>
      </c>
      <c r="H28" s="85">
        <f t="shared" si="7"/>
        <v>94.220006834439616</v>
      </c>
      <c r="I28" s="85">
        <f t="shared" si="8"/>
        <v>268.52701947815291</v>
      </c>
      <c r="J28" s="207">
        <f t="shared" si="9"/>
        <v>9422.0006834439628</v>
      </c>
      <c r="K28" s="35" t="str">
        <f t="shared" si="0"/>
        <v>D</v>
      </c>
      <c r="L28" s="69">
        <f t="shared" si="1"/>
        <v>81.367892810619026</v>
      </c>
      <c r="M28" s="263">
        <f t="shared" si="2"/>
        <v>81.367892810619026</v>
      </c>
    </row>
    <row r="29" spans="1:13" x14ac:dyDescent="0.25">
      <c r="A29" s="41">
        <v>2039</v>
      </c>
      <c r="B29" s="41">
        <v>26</v>
      </c>
      <c r="C29" s="85">
        <f t="shared" si="10"/>
        <v>7754.0239024538787</v>
      </c>
      <c r="D29" s="85">
        <f t="shared" si="3"/>
        <v>524.05167801315326</v>
      </c>
      <c r="E29" s="85">
        <f t="shared" si="4"/>
        <v>659.9169278684152</v>
      </c>
      <c r="F29" s="85">
        <f t="shared" si="5"/>
        <v>194.09321407894566</v>
      </c>
      <c r="G29" s="85">
        <f t="shared" si="6"/>
        <v>198.94554443091928</v>
      </c>
      <c r="H29" s="85">
        <f t="shared" si="7"/>
        <v>97.046607039472832</v>
      </c>
      <c r="I29" s="85">
        <f t="shared" si="8"/>
        <v>276.58283006249758</v>
      </c>
      <c r="J29" s="207">
        <f t="shared" si="9"/>
        <v>9704.6607039472819</v>
      </c>
      <c r="K29" s="35" t="str">
        <f t="shared" si="0"/>
        <v>D</v>
      </c>
      <c r="L29" s="69">
        <f t="shared" si="1"/>
        <v>81.169435868112757</v>
      </c>
      <c r="M29" s="263">
        <f t="shared" si="2"/>
        <v>81.169435868112757</v>
      </c>
    </row>
    <row r="30" spans="1:13" x14ac:dyDescent="0.25">
      <c r="A30" s="41">
        <v>2040</v>
      </c>
      <c r="B30" s="41">
        <v>27</v>
      </c>
      <c r="C30" s="85">
        <f t="shared" si="10"/>
        <v>7986.6446195274939</v>
      </c>
      <c r="D30" s="85">
        <f t="shared" si="3"/>
        <v>539.77322835354778</v>
      </c>
      <c r="E30" s="85">
        <f t="shared" si="4"/>
        <v>679.71443570446763</v>
      </c>
      <c r="F30" s="85">
        <f t="shared" si="5"/>
        <v>199.91601050131399</v>
      </c>
      <c r="G30" s="85">
        <f t="shared" si="6"/>
        <v>204.91391076384684</v>
      </c>
      <c r="H30" s="85">
        <f t="shared" si="7"/>
        <v>99.958005250656996</v>
      </c>
      <c r="I30" s="85">
        <f t="shared" si="8"/>
        <v>284.88031496437242</v>
      </c>
      <c r="J30" s="207">
        <f t="shared" si="9"/>
        <v>9995.8005250656988</v>
      </c>
      <c r="K30" s="35" t="str">
        <f t="shared" si="0"/>
        <v>D</v>
      </c>
      <c r="L30" s="69">
        <f t="shared" si="1"/>
        <v>80.853528944156153</v>
      </c>
      <c r="M30" s="263">
        <f t="shared" si="2"/>
        <v>80.853528944156153</v>
      </c>
    </row>
    <row r="31" spans="1:13" x14ac:dyDescent="0.25">
      <c r="A31" s="41">
        <v>2041</v>
      </c>
      <c r="B31" s="41">
        <v>28</v>
      </c>
      <c r="C31" s="85">
        <f t="shared" si="10"/>
        <v>8226.2439581133185</v>
      </c>
      <c r="D31" s="85">
        <f t="shared" si="3"/>
        <v>555.96642520415423</v>
      </c>
      <c r="E31" s="85">
        <f t="shared" si="4"/>
        <v>700.10586877560161</v>
      </c>
      <c r="F31" s="85">
        <f t="shared" si="5"/>
        <v>205.91349081635343</v>
      </c>
      <c r="G31" s="85">
        <f t="shared" si="6"/>
        <v>211.06132808676224</v>
      </c>
      <c r="H31" s="85">
        <f t="shared" si="7"/>
        <v>102.95674540817672</v>
      </c>
      <c r="I31" s="85">
        <f t="shared" si="8"/>
        <v>293.42672441330365</v>
      </c>
      <c r="J31" s="207">
        <f t="shared" si="9"/>
        <v>10295.674540817672</v>
      </c>
      <c r="K31" s="35" t="str">
        <f t="shared" si="0"/>
        <v>D</v>
      </c>
      <c r="L31" s="69">
        <f t="shared" si="1"/>
        <v>80.528144812480832</v>
      </c>
      <c r="M31" s="263">
        <f t="shared" si="2"/>
        <v>80.528144812480832</v>
      </c>
    </row>
    <row r="32" spans="1:13" x14ac:dyDescent="0.25">
      <c r="A32" s="41">
        <v>2042</v>
      </c>
      <c r="B32" s="41">
        <v>29</v>
      </c>
      <c r="C32" s="85">
        <f t="shared" si="10"/>
        <v>8473.0312768567183</v>
      </c>
      <c r="D32" s="85">
        <f t="shared" si="3"/>
        <v>572.64541796027879</v>
      </c>
      <c r="E32" s="85">
        <f t="shared" si="4"/>
        <v>721.10904483886964</v>
      </c>
      <c r="F32" s="85">
        <f t="shared" si="5"/>
        <v>212.090895540844</v>
      </c>
      <c r="G32" s="85">
        <f t="shared" si="6"/>
        <v>217.39316792936509</v>
      </c>
      <c r="H32" s="85">
        <f t="shared" si="7"/>
        <v>106.045447770422</v>
      </c>
      <c r="I32" s="85">
        <f t="shared" si="8"/>
        <v>302.22952614570272</v>
      </c>
      <c r="J32" s="207">
        <f t="shared" si="9"/>
        <v>10604.5447770422</v>
      </c>
      <c r="K32" s="35" t="str">
        <f t="shared" si="0"/>
        <v>D</v>
      </c>
      <c r="L32" s="69">
        <f t="shared" si="1"/>
        <v>80.192999156855265</v>
      </c>
      <c r="M32" s="263">
        <f t="shared" si="2"/>
        <v>80.192999156855265</v>
      </c>
    </row>
    <row r="33" spans="1:13" x14ac:dyDescent="0.25">
      <c r="A33" s="41">
        <v>2043</v>
      </c>
      <c r="B33" s="41">
        <v>30</v>
      </c>
      <c r="C33" s="85">
        <f t="shared" si="10"/>
        <v>8727.2222151624192</v>
      </c>
      <c r="D33" s="85">
        <f t="shared" si="3"/>
        <v>589.82478049908718</v>
      </c>
      <c r="E33" s="85">
        <f t="shared" si="4"/>
        <v>742.74231618403564</v>
      </c>
      <c r="F33" s="85">
        <f t="shared" si="5"/>
        <v>218.45362240706933</v>
      </c>
      <c r="G33" s="85">
        <f t="shared" si="6"/>
        <v>223.91496296724605</v>
      </c>
      <c r="H33" s="85">
        <f t="shared" si="7"/>
        <v>109.22681120353467</v>
      </c>
      <c r="I33" s="85">
        <f t="shared" si="8"/>
        <v>311.29641193007376</v>
      </c>
      <c r="J33" s="207">
        <f t="shared" si="9"/>
        <v>10922.681120353467</v>
      </c>
      <c r="K33" s="35" t="str">
        <f t="shared" si="0"/>
        <v>D</v>
      </c>
      <c r="L33" s="69">
        <f t="shared" si="1"/>
        <v>79.847799131560905</v>
      </c>
      <c r="M33" s="263">
        <f t="shared" si="2"/>
        <v>79.847799131560905</v>
      </c>
    </row>
    <row r="34" spans="1:13" x14ac:dyDescent="0.25">
      <c r="A34" s="20"/>
      <c r="B34" s="41">
        <v>31</v>
      </c>
      <c r="C34" s="85">
        <f>$C$3*(1+$C$36)^B34</f>
        <v>8989.0388816172926</v>
      </c>
      <c r="D34" s="85">
        <f>$D$3*(1+$D$36)^B34</f>
        <v>607.51952391405985</v>
      </c>
      <c r="E34" s="85">
        <f t="shared" si="4"/>
        <v>765.02458566955693</v>
      </c>
      <c r="F34" s="85">
        <f>$F$3*(1+$F$36)^B34</f>
        <v>225.00723107928144</v>
      </c>
      <c r="G34" s="85">
        <f t="shared" si="6"/>
        <v>230.63241185626347</v>
      </c>
      <c r="H34" s="85">
        <f>$H$3*(1+$H$36)^B34</f>
        <v>112.50361553964072</v>
      </c>
      <c r="I34" s="85">
        <f>$I$3*(1+$I$36)^B34</f>
        <v>320.63530428797606</v>
      </c>
      <c r="J34" s="207">
        <f t="shared" si="9"/>
        <v>11250.361553964072</v>
      </c>
      <c r="K34" s="35" t="str">
        <f>IF($G$1="I",U290,IF($G$1="II",V290,IF($G$1="III",W290)))</f>
        <v>D</v>
      </c>
      <c r="L34" s="69">
        <f>IF(K34="E",60,M34)</f>
        <v>79.49224310550774</v>
      </c>
      <c r="M34" s="263">
        <f>X290</f>
        <v>79.49224310550774</v>
      </c>
    </row>
    <row r="35" spans="1:13" ht="15.75" thickBot="1" x14ac:dyDescent="0.3">
      <c r="A35" s="20"/>
      <c r="B35" s="41">
        <v>32</v>
      </c>
      <c r="C35" s="85">
        <f>$C$3*(1+$C$36)^B35</f>
        <v>9258.71004806581</v>
      </c>
      <c r="D35" s="85">
        <f>$D$3*(1+$D$36)^B35</f>
        <v>625.74510963148157</v>
      </c>
      <c r="E35" s="85">
        <f t="shared" si="4"/>
        <v>787.97532323964344</v>
      </c>
      <c r="F35" s="85">
        <f>$F$3*(1+$F$36)^B35</f>
        <v>231.75744801165985</v>
      </c>
      <c r="G35" s="85">
        <f t="shared" si="6"/>
        <v>237.55138421195133</v>
      </c>
      <c r="H35" s="85">
        <f>$H$3*(1+$H$36)^B35</f>
        <v>115.87872400582992</v>
      </c>
      <c r="I35" s="85">
        <f>$I$3*(1+$I$36)^B35</f>
        <v>330.25436341661526</v>
      </c>
      <c r="J35" s="207">
        <f t="shared" si="9"/>
        <v>11587.872400582992</v>
      </c>
      <c r="K35" s="35" t="str">
        <f>IF($G$1="I",U291,IF($G$1="II",V291,IF($G$1="III",W291)))</f>
        <v>D</v>
      </c>
      <c r="L35" s="69">
        <f>IF(K35="E",60,M35)</f>
        <v>79.126020398672978</v>
      </c>
      <c r="M35" s="263">
        <f>X291</f>
        <v>79.126020398672978</v>
      </c>
    </row>
    <row r="36" spans="1:13" ht="15.75" thickBot="1" x14ac:dyDescent="0.3">
      <c r="A36" s="70"/>
      <c r="B36" s="71" t="s">
        <v>54</v>
      </c>
      <c r="C36" s="72">
        <f>'DATOS DE ENTRADA'!D11</f>
        <v>0.03</v>
      </c>
      <c r="D36" s="72">
        <f>'DATOS DE ENTRADA'!D12</f>
        <v>0.03</v>
      </c>
      <c r="E36" s="72">
        <f>'DATOS DE ENTRADA'!D13</f>
        <v>0.03</v>
      </c>
      <c r="F36" s="72">
        <f>'DATOS DE ENTRADA'!D14</f>
        <v>0.03</v>
      </c>
      <c r="G36" s="72">
        <f>'DATOS DE ENTRADA'!D15</f>
        <v>0.03</v>
      </c>
      <c r="H36" s="72">
        <f>'DATOS DE ENTRADA'!D16</f>
        <v>0.03</v>
      </c>
      <c r="I36" s="72">
        <f>'DATOS DE ENTRADA'!D17</f>
        <v>0.03</v>
      </c>
      <c r="J36" s="261"/>
      <c r="K36" s="129"/>
      <c r="L36" s="259"/>
      <c r="M36" s="264"/>
    </row>
    <row r="37" spans="1:13" x14ac:dyDescent="0.25">
      <c r="A37" s="73"/>
      <c r="B37" s="73"/>
      <c r="C37" s="73"/>
      <c r="E37" s="73"/>
      <c r="F37" s="73"/>
      <c r="G37" s="73"/>
      <c r="H37" s="73"/>
      <c r="I37" s="73"/>
      <c r="K37" s="129"/>
      <c r="L37" s="259"/>
      <c r="M37" s="264"/>
    </row>
    <row r="38" spans="1:13" x14ac:dyDescent="0.25">
      <c r="A38" s="74" t="s">
        <v>55</v>
      </c>
      <c r="B38" s="74"/>
      <c r="C38" s="74"/>
      <c r="E38" t="s">
        <v>225</v>
      </c>
      <c r="G38" t="str">
        <f>'DATOS DE ENTRADA'!C84</f>
        <v>I</v>
      </c>
      <c r="K38" s="129"/>
      <c r="L38" s="259"/>
      <c r="M38" s="264"/>
    </row>
    <row r="39" spans="1:13" x14ac:dyDescent="0.25">
      <c r="A39" s="68" t="s">
        <v>18</v>
      </c>
      <c r="B39" s="68" t="s">
        <v>45</v>
      </c>
      <c r="C39" s="41" t="s">
        <v>46</v>
      </c>
      <c r="D39" s="41" t="s">
        <v>47</v>
      </c>
      <c r="E39" s="41" t="s">
        <v>48</v>
      </c>
      <c r="F39" s="41" t="s">
        <v>49</v>
      </c>
      <c r="G39" s="41" t="s">
        <v>50</v>
      </c>
      <c r="H39" s="41" t="s">
        <v>51</v>
      </c>
      <c r="I39" s="41" t="s">
        <v>52</v>
      </c>
      <c r="J39" s="260" t="s">
        <v>53</v>
      </c>
      <c r="K39" s="151" t="s">
        <v>224</v>
      </c>
      <c r="L39" s="41" t="s">
        <v>218</v>
      </c>
      <c r="M39" s="253" t="s">
        <v>218</v>
      </c>
    </row>
    <row r="40" spans="1:13" x14ac:dyDescent="0.25">
      <c r="A40" s="41">
        <v>2013</v>
      </c>
      <c r="B40" s="41">
        <v>0</v>
      </c>
      <c r="C40" s="84">
        <f>'DATOS DE ENTRADA'!$C$25*'DATOS DE ENTRADA'!C26</f>
        <v>3595.5</v>
      </c>
      <c r="D40" s="84">
        <f>'DATOS DE ENTRADA'!$C$25*'DATOS DE ENTRADA'!C27</f>
        <v>243</v>
      </c>
      <c r="E40" s="84">
        <f>'DATOS DE ENTRADA'!$C$25*'DATOS DE ENTRADA'!C28</f>
        <v>306</v>
      </c>
      <c r="F40" s="84">
        <f>'DATOS DE ENTRADA'!$C$25*'DATOS DE ENTRADA'!C29</f>
        <v>90</v>
      </c>
      <c r="G40" s="84">
        <f>'DATOS DE ENTRADA'!$C$25*'DATOS DE ENTRADA'!C30</f>
        <v>92.25</v>
      </c>
      <c r="H40" s="84">
        <f>'DATOS DE ENTRADA'!$C$25*'DATOS DE ENTRADA'!C31</f>
        <v>45</v>
      </c>
      <c r="I40" s="84">
        <f>'DATOS DE ENTRADA'!$C$25*'DATOS DE ENTRADA'!C32</f>
        <v>128.25</v>
      </c>
      <c r="J40" s="207">
        <f>SUM(C40:I40)</f>
        <v>4500</v>
      </c>
      <c r="K40" s="35" t="str">
        <f t="shared" ref="K40:K70" si="11">IF($G$38="I",U294,IF($G$38="II",V294,IF($G$38="III",W294)))</f>
        <v>C</v>
      </c>
      <c r="L40" s="69">
        <f t="shared" ref="L40:L69" si="12">IF(K40="E",60,M40)</f>
        <v>89.407781901041673</v>
      </c>
      <c r="M40" s="263">
        <f t="shared" ref="M40:M70" si="13">X294</f>
        <v>89.407781901041673</v>
      </c>
    </row>
    <row r="41" spans="1:13" x14ac:dyDescent="0.25">
      <c r="A41" s="41">
        <v>2014</v>
      </c>
      <c r="B41" s="41">
        <v>1</v>
      </c>
      <c r="C41" s="85">
        <f t="shared" ref="C41:C70" si="14">$C$40*(1+$C$73)^B41</f>
        <v>3703.3650000000002</v>
      </c>
      <c r="D41" s="85">
        <f t="shared" ref="D41:D70" si="15">$D$40*(1+$D$73)^B41</f>
        <v>250.29000000000002</v>
      </c>
      <c r="E41" s="85">
        <f t="shared" ref="E41:E70" si="16">$E$40*(1+$E$73)^B41</f>
        <v>315.18</v>
      </c>
      <c r="F41" s="85">
        <f t="shared" ref="F41:F70" si="17">$F$40*(1+$F$73)^B41</f>
        <v>92.7</v>
      </c>
      <c r="G41" s="85">
        <f t="shared" ref="G41:G70" si="18">$G$40*(1+$G$73)^B41</f>
        <v>95.017499999999998</v>
      </c>
      <c r="H41" s="85">
        <f t="shared" ref="H41:H70" si="19">$H$40*(1+$H$73)^B41</f>
        <v>46.35</v>
      </c>
      <c r="I41" s="85">
        <f t="shared" ref="I41:I70" si="20">$I$40*(1+$I$73)^B41</f>
        <v>132.0975</v>
      </c>
      <c r="J41" s="207">
        <f t="shared" ref="J41:J70" si="21">SUM(C41:I41)</f>
        <v>4635</v>
      </c>
      <c r="K41" s="35" t="str">
        <f t="shared" si="11"/>
        <v>C</v>
      </c>
      <c r="L41" s="69">
        <f t="shared" si="12"/>
        <v>89.259825358072931</v>
      </c>
      <c r="M41" s="263">
        <f t="shared" si="13"/>
        <v>89.259825358072931</v>
      </c>
    </row>
    <row r="42" spans="1:13" x14ac:dyDescent="0.25">
      <c r="A42" s="41">
        <v>2015</v>
      </c>
      <c r="B42" s="41">
        <v>2</v>
      </c>
      <c r="C42" s="85">
        <f t="shared" si="14"/>
        <v>3814.4659499999998</v>
      </c>
      <c r="D42" s="85">
        <f t="shared" si="15"/>
        <v>257.7987</v>
      </c>
      <c r="E42" s="85">
        <f t="shared" si="16"/>
        <v>324.6354</v>
      </c>
      <c r="F42" s="85">
        <f t="shared" si="17"/>
        <v>95.480999999999995</v>
      </c>
      <c r="G42" s="85">
        <f t="shared" si="18"/>
        <v>97.868024999999989</v>
      </c>
      <c r="H42" s="85">
        <f t="shared" si="19"/>
        <v>47.740499999999997</v>
      </c>
      <c r="I42" s="85">
        <f t="shared" si="20"/>
        <v>136.06042499999998</v>
      </c>
      <c r="J42" s="207">
        <f t="shared" si="21"/>
        <v>4774.0499999999984</v>
      </c>
      <c r="K42" s="35" t="str">
        <f t="shared" si="11"/>
        <v>C</v>
      </c>
      <c r="L42" s="69">
        <f t="shared" si="12"/>
        <v>89.107430118815117</v>
      </c>
      <c r="M42" s="263">
        <f t="shared" si="13"/>
        <v>89.107430118815117</v>
      </c>
    </row>
    <row r="43" spans="1:13" x14ac:dyDescent="0.25">
      <c r="A43" s="41">
        <v>2016</v>
      </c>
      <c r="B43" s="41">
        <v>3</v>
      </c>
      <c r="C43" s="85">
        <f t="shared" si="14"/>
        <v>3928.8999285</v>
      </c>
      <c r="D43" s="85">
        <f t="shared" si="15"/>
        <v>265.53266100000002</v>
      </c>
      <c r="E43" s="85">
        <f t="shared" si="16"/>
        <v>334.37446199999999</v>
      </c>
      <c r="F43" s="85">
        <f t="shared" si="17"/>
        <v>98.345429999999993</v>
      </c>
      <c r="G43" s="85">
        <f t="shared" si="18"/>
        <v>100.80406575000001</v>
      </c>
      <c r="H43" s="85">
        <f t="shared" si="19"/>
        <v>49.172714999999997</v>
      </c>
      <c r="I43" s="85">
        <f t="shared" si="20"/>
        <v>140.14223774999999</v>
      </c>
      <c r="J43" s="207">
        <f t="shared" si="21"/>
        <v>4917.2714999999998</v>
      </c>
      <c r="K43" s="35" t="str">
        <f t="shared" si="11"/>
        <v>C</v>
      </c>
      <c r="L43" s="69">
        <f t="shared" si="12"/>
        <v>89.008337218912772</v>
      </c>
      <c r="M43" s="263">
        <f t="shared" si="13"/>
        <v>89.008337218912772</v>
      </c>
    </row>
    <row r="44" spans="1:13" x14ac:dyDescent="0.25">
      <c r="A44" s="41">
        <v>2017</v>
      </c>
      <c r="B44" s="41">
        <v>4</v>
      </c>
      <c r="C44" s="85">
        <f t="shared" si="14"/>
        <v>4046.7669263549997</v>
      </c>
      <c r="D44" s="85">
        <f t="shared" si="15"/>
        <v>273.49864083</v>
      </c>
      <c r="E44" s="85">
        <f t="shared" si="16"/>
        <v>344.40569585999998</v>
      </c>
      <c r="F44" s="85">
        <f t="shared" si="17"/>
        <v>101.2957929</v>
      </c>
      <c r="G44" s="85">
        <f t="shared" si="18"/>
        <v>103.82818772249999</v>
      </c>
      <c r="H44" s="85">
        <f t="shared" si="19"/>
        <v>50.647896449999998</v>
      </c>
      <c r="I44" s="85">
        <f t="shared" si="20"/>
        <v>144.3465048825</v>
      </c>
      <c r="J44" s="207">
        <f t="shared" si="21"/>
        <v>5064.7896450000007</v>
      </c>
      <c r="K44" s="35" t="str">
        <f t="shared" si="11"/>
        <v>C</v>
      </c>
      <c r="L44" s="69">
        <f t="shared" si="12"/>
        <v>88.847197335480161</v>
      </c>
      <c r="M44" s="263">
        <f t="shared" si="13"/>
        <v>88.847197335480161</v>
      </c>
    </row>
    <row r="45" spans="1:13" x14ac:dyDescent="0.25">
      <c r="A45" s="41">
        <v>2018</v>
      </c>
      <c r="B45" s="41">
        <v>5</v>
      </c>
      <c r="C45" s="85">
        <f t="shared" si="14"/>
        <v>4168.1699341456497</v>
      </c>
      <c r="D45" s="85">
        <f t="shared" si="15"/>
        <v>281.70360005489994</v>
      </c>
      <c r="E45" s="85">
        <f t="shared" si="16"/>
        <v>354.73786673579997</v>
      </c>
      <c r="F45" s="85">
        <f t="shared" si="17"/>
        <v>104.33466668699998</v>
      </c>
      <c r="G45" s="85">
        <f t="shared" si="18"/>
        <v>106.94303335417499</v>
      </c>
      <c r="H45" s="85">
        <f t="shared" si="19"/>
        <v>52.16733334349999</v>
      </c>
      <c r="I45" s="85">
        <f t="shared" si="20"/>
        <v>148.67690002897498</v>
      </c>
      <c r="J45" s="207">
        <f t="shared" si="21"/>
        <v>5216.7333343499995</v>
      </c>
      <c r="K45" s="35" t="str">
        <f t="shared" si="11"/>
        <v>C</v>
      </c>
      <c r="L45" s="69">
        <f t="shared" si="12"/>
        <v>88.681223255544566</v>
      </c>
      <c r="M45" s="263">
        <f t="shared" si="13"/>
        <v>88.681223255544566</v>
      </c>
    </row>
    <row r="46" spans="1:13" x14ac:dyDescent="0.25">
      <c r="A46" s="41">
        <v>2019</v>
      </c>
      <c r="B46" s="41">
        <v>6</v>
      </c>
      <c r="C46" s="85">
        <f t="shared" si="14"/>
        <v>4293.2150321700192</v>
      </c>
      <c r="D46" s="85">
        <f t="shared" si="15"/>
        <v>290.15470805654695</v>
      </c>
      <c r="E46" s="85">
        <f t="shared" si="16"/>
        <v>365.38000273787395</v>
      </c>
      <c r="F46" s="85">
        <f t="shared" si="17"/>
        <v>107.46470668760999</v>
      </c>
      <c r="G46" s="85">
        <f t="shared" si="18"/>
        <v>110.15132435480024</v>
      </c>
      <c r="H46" s="85">
        <f t="shared" si="19"/>
        <v>53.732353343804995</v>
      </c>
      <c r="I46" s="85">
        <f t="shared" si="20"/>
        <v>153.13720702984423</v>
      </c>
      <c r="J46" s="207">
        <f t="shared" si="21"/>
        <v>5373.2353343804989</v>
      </c>
      <c r="K46" s="35" t="str">
        <f t="shared" si="11"/>
        <v>C</v>
      </c>
      <c r="L46" s="69">
        <f t="shared" si="12"/>
        <v>88.510269953210894</v>
      </c>
      <c r="M46" s="263">
        <f t="shared" si="13"/>
        <v>88.510269953210894</v>
      </c>
    </row>
    <row r="47" spans="1:13" x14ac:dyDescent="0.25">
      <c r="A47" s="41">
        <v>2020</v>
      </c>
      <c r="B47" s="41">
        <v>7</v>
      </c>
      <c r="C47" s="85">
        <f t="shared" si="14"/>
        <v>4422.0114831351202</v>
      </c>
      <c r="D47" s="85">
        <f t="shared" si="15"/>
        <v>298.85934929824339</v>
      </c>
      <c r="E47" s="85">
        <f t="shared" si="16"/>
        <v>376.34140282001022</v>
      </c>
      <c r="F47" s="85">
        <f t="shared" si="17"/>
        <v>110.68864788823829</v>
      </c>
      <c r="G47" s="85">
        <f t="shared" si="18"/>
        <v>113.45586408544426</v>
      </c>
      <c r="H47" s="85">
        <f t="shared" si="19"/>
        <v>55.344323944119147</v>
      </c>
      <c r="I47" s="85">
        <f t="shared" si="20"/>
        <v>157.73132324073958</v>
      </c>
      <c r="J47" s="207">
        <f t="shared" si="21"/>
        <v>5534.4323944119151</v>
      </c>
      <c r="K47" s="35" t="str">
        <f t="shared" si="11"/>
        <v>C</v>
      </c>
      <c r="L47" s="69">
        <f t="shared" si="12"/>
        <v>88.334188051807217</v>
      </c>
      <c r="M47" s="263">
        <f t="shared" si="13"/>
        <v>88.334188051807217</v>
      </c>
    </row>
    <row r="48" spans="1:13" x14ac:dyDescent="0.25">
      <c r="A48" s="41">
        <v>2021</v>
      </c>
      <c r="B48" s="41">
        <v>8</v>
      </c>
      <c r="C48" s="85">
        <f t="shared" si="14"/>
        <v>4554.6718276291731</v>
      </c>
      <c r="D48" s="85">
        <f t="shared" si="15"/>
        <v>307.82512977719068</v>
      </c>
      <c r="E48" s="85">
        <f t="shared" si="16"/>
        <v>387.63164490461048</v>
      </c>
      <c r="F48" s="85">
        <f t="shared" si="17"/>
        <v>114.00930732488544</v>
      </c>
      <c r="G48" s="85">
        <f t="shared" si="18"/>
        <v>116.85954000800757</v>
      </c>
      <c r="H48" s="85">
        <f t="shared" si="19"/>
        <v>57.00465366244272</v>
      </c>
      <c r="I48" s="85">
        <f t="shared" si="20"/>
        <v>162.46326293796173</v>
      </c>
      <c r="J48" s="207">
        <f t="shared" si="21"/>
        <v>5700.4653662442724</v>
      </c>
      <c r="K48" s="35" t="str">
        <f t="shared" si="11"/>
        <v>C</v>
      </c>
      <c r="L48" s="69">
        <f t="shared" si="12"/>
        <v>88.152823693361441</v>
      </c>
      <c r="M48" s="263">
        <f t="shared" si="13"/>
        <v>88.152823693361441</v>
      </c>
    </row>
    <row r="49" spans="1:13" x14ac:dyDescent="0.25">
      <c r="A49" s="41">
        <v>2022</v>
      </c>
      <c r="B49" s="41">
        <v>9</v>
      </c>
      <c r="C49" s="85">
        <f t="shared" si="14"/>
        <v>4691.3119824580481</v>
      </c>
      <c r="D49" s="85">
        <f t="shared" si="15"/>
        <v>317.05988367050639</v>
      </c>
      <c r="E49" s="85">
        <f t="shared" si="16"/>
        <v>399.26059425174878</v>
      </c>
      <c r="F49" s="85">
        <f t="shared" si="17"/>
        <v>117.429586544632</v>
      </c>
      <c r="G49" s="85">
        <f t="shared" si="18"/>
        <v>120.36532620824781</v>
      </c>
      <c r="H49" s="85">
        <f t="shared" si="19"/>
        <v>58.714793272316001</v>
      </c>
      <c r="I49" s="85">
        <f t="shared" si="20"/>
        <v>167.33716082610061</v>
      </c>
      <c r="J49" s="207">
        <f t="shared" si="21"/>
        <v>5871.4793272316001</v>
      </c>
      <c r="K49" s="35" t="str">
        <f t="shared" si="11"/>
        <v>C</v>
      </c>
      <c r="L49" s="69">
        <f t="shared" si="12"/>
        <v>87.966018404162284</v>
      </c>
      <c r="M49" s="263">
        <f t="shared" si="13"/>
        <v>87.966018404162284</v>
      </c>
    </row>
    <row r="50" spans="1:13" x14ac:dyDescent="0.25">
      <c r="A50" s="41">
        <v>2023</v>
      </c>
      <c r="B50" s="41">
        <v>10</v>
      </c>
      <c r="C50" s="85">
        <f t="shared" si="14"/>
        <v>4832.0513419317895</v>
      </c>
      <c r="D50" s="85">
        <f t="shared" si="15"/>
        <v>326.57168018062157</v>
      </c>
      <c r="E50" s="85">
        <f t="shared" si="16"/>
        <v>411.23841207930127</v>
      </c>
      <c r="F50" s="85">
        <f t="shared" si="17"/>
        <v>120.95247414097096</v>
      </c>
      <c r="G50" s="85">
        <f t="shared" si="18"/>
        <v>123.97628599449523</v>
      </c>
      <c r="H50" s="85">
        <f t="shared" si="19"/>
        <v>60.476237070485482</v>
      </c>
      <c r="I50" s="85">
        <f t="shared" si="20"/>
        <v>172.35727565088362</v>
      </c>
      <c r="J50" s="207">
        <f t="shared" si="21"/>
        <v>6047.6237070485486</v>
      </c>
      <c r="K50" s="35" t="str">
        <f t="shared" si="11"/>
        <v>C</v>
      </c>
      <c r="L50" s="69">
        <f t="shared" si="12"/>
        <v>87.795591963468809</v>
      </c>
      <c r="M50" s="263">
        <f t="shared" si="13"/>
        <v>87.795591963468809</v>
      </c>
    </row>
    <row r="51" spans="1:13" x14ac:dyDescent="0.25">
      <c r="A51" s="41">
        <v>2024</v>
      </c>
      <c r="B51" s="41">
        <v>11</v>
      </c>
      <c r="C51" s="85">
        <f t="shared" si="14"/>
        <v>4977.0128821897433</v>
      </c>
      <c r="D51" s="85">
        <f t="shared" si="15"/>
        <v>336.36883058604025</v>
      </c>
      <c r="E51" s="85">
        <f t="shared" si="16"/>
        <v>423.57556444168034</v>
      </c>
      <c r="F51" s="85">
        <f t="shared" si="17"/>
        <v>124.58104836520009</v>
      </c>
      <c r="G51" s="85">
        <f t="shared" si="18"/>
        <v>127.6955745743301</v>
      </c>
      <c r="H51" s="85">
        <f t="shared" si="19"/>
        <v>62.290524182600045</v>
      </c>
      <c r="I51" s="85">
        <f t="shared" si="20"/>
        <v>177.52799392041013</v>
      </c>
      <c r="J51" s="207">
        <f t="shared" si="21"/>
        <v>6229.0524182600047</v>
      </c>
      <c r="K51" s="35" t="str">
        <f t="shared" si="11"/>
        <v>C</v>
      </c>
      <c r="L51" s="69">
        <f t="shared" si="12"/>
        <v>87.59806972237287</v>
      </c>
      <c r="M51" s="263">
        <f t="shared" si="13"/>
        <v>87.59806972237287</v>
      </c>
    </row>
    <row r="52" spans="1:13" x14ac:dyDescent="0.25">
      <c r="A52" s="41">
        <v>2025</v>
      </c>
      <c r="B52" s="41">
        <v>12</v>
      </c>
      <c r="C52" s="85">
        <f t="shared" si="14"/>
        <v>5126.3232686554356</v>
      </c>
      <c r="D52" s="85">
        <f t="shared" si="15"/>
        <v>346.4598955036214</v>
      </c>
      <c r="E52" s="85">
        <f t="shared" si="16"/>
        <v>436.28283137493065</v>
      </c>
      <c r="F52" s="85">
        <f t="shared" si="17"/>
        <v>128.31847981615607</v>
      </c>
      <c r="G52" s="85">
        <f t="shared" si="18"/>
        <v>131.52644181155998</v>
      </c>
      <c r="H52" s="85">
        <f t="shared" si="19"/>
        <v>64.159239908078035</v>
      </c>
      <c r="I52" s="85">
        <f t="shared" si="20"/>
        <v>182.85383373802242</v>
      </c>
      <c r="J52" s="207">
        <f t="shared" si="21"/>
        <v>6415.9239908078052</v>
      </c>
      <c r="K52" s="35" t="str">
        <f t="shared" si="11"/>
        <v>C</v>
      </c>
      <c r="L52" s="69">
        <f t="shared" si="12"/>
        <v>87.394621814044058</v>
      </c>
      <c r="M52" s="263">
        <f t="shared" si="13"/>
        <v>87.394621814044058</v>
      </c>
    </row>
    <row r="53" spans="1:13" x14ac:dyDescent="0.25">
      <c r="A53" s="41">
        <v>2026</v>
      </c>
      <c r="B53" s="41">
        <v>13</v>
      </c>
      <c r="C53" s="85">
        <f t="shared" si="14"/>
        <v>5280.1129667150981</v>
      </c>
      <c r="D53" s="85">
        <f t="shared" si="15"/>
        <v>356.85369236873004</v>
      </c>
      <c r="E53" s="85">
        <f t="shared" si="16"/>
        <v>449.37131631617854</v>
      </c>
      <c r="F53" s="85">
        <f t="shared" si="17"/>
        <v>132.16803421064074</v>
      </c>
      <c r="G53" s="85">
        <f t="shared" si="18"/>
        <v>135.47223506590677</v>
      </c>
      <c r="H53" s="85">
        <f t="shared" si="19"/>
        <v>66.08401710532037</v>
      </c>
      <c r="I53" s="85">
        <f t="shared" si="20"/>
        <v>188.33944875016309</v>
      </c>
      <c r="J53" s="207">
        <f t="shared" si="21"/>
        <v>6608.4017105320372</v>
      </c>
      <c r="K53" s="35" t="str">
        <f t="shared" si="11"/>
        <v>C</v>
      </c>
      <c r="L53" s="69">
        <f t="shared" si="12"/>
        <v>87.185070468465383</v>
      </c>
      <c r="M53" s="263">
        <f t="shared" si="13"/>
        <v>87.185070468465383</v>
      </c>
    </row>
    <row r="54" spans="1:13" x14ac:dyDescent="0.25">
      <c r="A54" s="41">
        <v>2027</v>
      </c>
      <c r="B54" s="41">
        <v>14</v>
      </c>
      <c r="C54" s="85">
        <f t="shared" si="14"/>
        <v>5438.5163557165515</v>
      </c>
      <c r="D54" s="85">
        <f t="shared" si="15"/>
        <v>367.55930313979195</v>
      </c>
      <c r="E54" s="85">
        <f t="shared" si="16"/>
        <v>462.85245580566396</v>
      </c>
      <c r="F54" s="85">
        <f t="shared" si="17"/>
        <v>136.13307523696</v>
      </c>
      <c r="G54" s="85">
        <f t="shared" si="18"/>
        <v>139.53640211788399</v>
      </c>
      <c r="H54" s="85">
        <f t="shared" si="19"/>
        <v>68.066537618479998</v>
      </c>
      <c r="I54" s="85">
        <f t="shared" si="20"/>
        <v>193.989632212668</v>
      </c>
      <c r="J54" s="207">
        <f t="shared" si="21"/>
        <v>6806.6537618479997</v>
      </c>
      <c r="K54" s="35" t="str">
        <f t="shared" si="11"/>
        <v>C</v>
      </c>
      <c r="L54" s="69">
        <f t="shared" si="12"/>
        <v>86.969232582519339</v>
      </c>
      <c r="M54" s="263">
        <f t="shared" si="13"/>
        <v>86.969232582519339</v>
      </c>
    </row>
    <row r="55" spans="1:13" x14ac:dyDescent="0.25">
      <c r="A55" s="41">
        <v>2028</v>
      </c>
      <c r="B55" s="41">
        <v>15</v>
      </c>
      <c r="C55" s="85">
        <f t="shared" si="14"/>
        <v>5601.6718463880488</v>
      </c>
      <c r="D55" s="85">
        <f t="shared" si="15"/>
        <v>378.58608223398574</v>
      </c>
      <c r="E55" s="85">
        <f t="shared" si="16"/>
        <v>476.73802947983393</v>
      </c>
      <c r="F55" s="85">
        <f t="shared" si="17"/>
        <v>140.2170674940688</v>
      </c>
      <c r="G55" s="85">
        <f t="shared" si="18"/>
        <v>143.72249418142053</v>
      </c>
      <c r="H55" s="85">
        <f t="shared" si="19"/>
        <v>70.1085337470344</v>
      </c>
      <c r="I55" s="85">
        <f t="shared" si="20"/>
        <v>199.80932117904803</v>
      </c>
      <c r="J55" s="207">
        <f t="shared" si="21"/>
        <v>7010.8533747034398</v>
      </c>
      <c r="K55" s="35" t="str">
        <f t="shared" si="11"/>
        <v>C</v>
      </c>
      <c r="L55" s="69">
        <f t="shared" si="12"/>
        <v>86.746919559994922</v>
      </c>
      <c r="M55" s="263">
        <f t="shared" si="13"/>
        <v>86.746919559994922</v>
      </c>
    </row>
    <row r="56" spans="1:13" x14ac:dyDescent="0.25">
      <c r="A56" s="41">
        <v>2029</v>
      </c>
      <c r="B56" s="41">
        <v>16</v>
      </c>
      <c r="C56" s="85">
        <f t="shared" si="14"/>
        <v>5769.722001779689</v>
      </c>
      <c r="D56" s="85">
        <f t="shared" si="15"/>
        <v>389.94366470100528</v>
      </c>
      <c r="E56" s="85">
        <f t="shared" si="16"/>
        <v>491.04017036422886</v>
      </c>
      <c r="F56" s="85">
        <f t="shared" si="17"/>
        <v>144.42357951889085</v>
      </c>
      <c r="G56" s="85">
        <f t="shared" si="18"/>
        <v>148.0341690068631</v>
      </c>
      <c r="H56" s="85">
        <f t="shared" si="19"/>
        <v>72.211789759445423</v>
      </c>
      <c r="I56" s="85">
        <f t="shared" si="20"/>
        <v>205.80360081441944</v>
      </c>
      <c r="J56" s="207">
        <f t="shared" si="21"/>
        <v>7221.1789759445419</v>
      </c>
      <c r="K56" s="35" t="str">
        <f t="shared" si="11"/>
        <v>C</v>
      </c>
      <c r="L56" s="69">
        <f t="shared" si="12"/>
        <v>86.563937146794757</v>
      </c>
      <c r="M56" s="263">
        <f t="shared" si="13"/>
        <v>86.563937146794757</v>
      </c>
    </row>
    <row r="57" spans="1:13" x14ac:dyDescent="0.25">
      <c r="A57" s="41">
        <v>2030</v>
      </c>
      <c r="B57" s="41">
        <v>17</v>
      </c>
      <c r="C57" s="85">
        <f t="shared" si="14"/>
        <v>5942.81366183308</v>
      </c>
      <c r="D57" s="85">
        <f t="shared" si="15"/>
        <v>401.64197464203539</v>
      </c>
      <c r="E57" s="85">
        <f t="shared" si="16"/>
        <v>505.77137547515571</v>
      </c>
      <c r="F57" s="85">
        <f t="shared" si="17"/>
        <v>148.75628690445757</v>
      </c>
      <c r="G57" s="85">
        <f t="shared" si="18"/>
        <v>152.47519407706901</v>
      </c>
      <c r="H57" s="85">
        <f t="shared" si="19"/>
        <v>74.378143452228784</v>
      </c>
      <c r="I57" s="85">
        <f t="shared" si="20"/>
        <v>211.97770883885204</v>
      </c>
      <c r="J57" s="207">
        <f t="shared" si="21"/>
        <v>7437.8143452228787</v>
      </c>
      <c r="K57" s="35" t="str">
        <f t="shared" si="11"/>
        <v>C</v>
      </c>
      <c r="L57" s="69">
        <f t="shared" si="12"/>
        <v>86.328085261198595</v>
      </c>
      <c r="M57" s="263">
        <f t="shared" si="13"/>
        <v>86.328085261198595</v>
      </c>
    </row>
    <row r="58" spans="1:13" x14ac:dyDescent="0.25">
      <c r="A58" s="41">
        <v>2031</v>
      </c>
      <c r="B58" s="41">
        <v>18</v>
      </c>
      <c r="C58" s="85">
        <f t="shared" si="14"/>
        <v>6121.0980716880722</v>
      </c>
      <c r="D58" s="85">
        <f t="shared" si="15"/>
        <v>413.69123388129651</v>
      </c>
      <c r="E58" s="85">
        <f t="shared" si="16"/>
        <v>520.94451673941035</v>
      </c>
      <c r="F58" s="85">
        <f t="shared" si="17"/>
        <v>153.21897551159128</v>
      </c>
      <c r="G58" s="85">
        <f t="shared" si="18"/>
        <v>157.04944989938107</v>
      </c>
      <c r="H58" s="85">
        <f t="shared" si="19"/>
        <v>76.609487755795641</v>
      </c>
      <c r="I58" s="85">
        <f t="shared" si="20"/>
        <v>218.3370401040176</v>
      </c>
      <c r="J58" s="207">
        <f t="shared" si="21"/>
        <v>7660.9487755795644</v>
      </c>
      <c r="K58" s="35" t="str">
        <f t="shared" si="11"/>
        <v>C</v>
      </c>
      <c r="L58" s="69">
        <f t="shared" si="12"/>
        <v>86.085157819034563</v>
      </c>
      <c r="M58" s="263">
        <f t="shared" si="13"/>
        <v>86.085157819034563</v>
      </c>
    </row>
    <row r="59" spans="1:13" x14ac:dyDescent="0.25">
      <c r="A59" s="41">
        <v>2032</v>
      </c>
      <c r="B59" s="41">
        <v>19</v>
      </c>
      <c r="C59" s="85">
        <f t="shared" si="14"/>
        <v>6304.7310138387138</v>
      </c>
      <c r="D59" s="85">
        <f t="shared" si="15"/>
        <v>426.10197089773538</v>
      </c>
      <c r="E59" s="85">
        <f t="shared" si="16"/>
        <v>536.57285224159273</v>
      </c>
      <c r="F59" s="85">
        <f t="shared" si="17"/>
        <v>157.81554477693902</v>
      </c>
      <c r="G59" s="85">
        <f t="shared" si="18"/>
        <v>161.7609333963625</v>
      </c>
      <c r="H59" s="85">
        <f t="shared" si="19"/>
        <v>78.90777238846951</v>
      </c>
      <c r="I59" s="85">
        <f t="shared" si="20"/>
        <v>224.88715130713811</v>
      </c>
      <c r="J59" s="207">
        <f t="shared" si="21"/>
        <v>7890.7772388469511</v>
      </c>
      <c r="K59" s="35" t="str">
        <f t="shared" si="11"/>
        <v>C</v>
      </c>
      <c r="L59" s="69">
        <f t="shared" si="12"/>
        <v>85.834942553605586</v>
      </c>
      <c r="M59" s="263">
        <f t="shared" si="13"/>
        <v>85.834942553605586</v>
      </c>
    </row>
    <row r="60" spans="1:13" x14ac:dyDescent="0.25">
      <c r="A60" s="41">
        <v>2033</v>
      </c>
      <c r="B60" s="41">
        <v>20</v>
      </c>
      <c r="C60" s="85">
        <f t="shared" si="14"/>
        <v>6493.8729442538752</v>
      </c>
      <c r="D60" s="85">
        <f t="shared" si="15"/>
        <v>438.8850300246674</v>
      </c>
      <c r="E60" s="85">
        <f t="shared" si="16"/>
        <v>552.67003780884045</v>
      </c>
      <c r="F60" s="85">
        <f t="shared" si="17"/>
        <v>162.55001112024721</v>
      </c>
      <c r="G60" s="85">
        <f t="shared" si="18"/>
        <v>166.61376139825336</v>
      </c>
      <c r="H60" s="85">
        <f t="shared" si="19"/>
        <v>81.275005560123603</v>
      </c>
      <c r="I60" s="85">
        <f t="shared" si="20"/>
        <v>231.63376584635225</v>
      </c>
      <c r="J60" s="207">
        <f t="shared" si="21"/>
        <v>8127.5005560123609</v>
      </c>
      <c r="K60" s="35" t="str">
        <f t="shared" si="11"/>
        <v>C</v>
      </c>
      <c r="L60" s="69">
        <f t="shared" si="12"/>
        <v>85.577220830213761</v>
      </c>
      <c r="M60" s="263">
        <f t="shared" si="13"/>
        <v>85.577220830213761</v>
      </c>
    </row>
    <row r="61" spans="1:13" x14ac:dyDescent="0.25">
      <c r="A61" s="41">
        <v>2034</v>
      </c>
      <c r="B61" s="41">
        <v>21</v>
      </c>
      <c r="C61" s="85">
        <f t="shared" si="14"/>
        <v>6688.6891325814904</v>
      </c>
      <c r="D61" s="85">
        <f t="shared" si="15"/>
        <v>452.05158092540739</v>
      </c>
      <c r="E61" s="85">
        <f t="shared" si="16"/>
        <v>569.25013894310564</v>
      </c>
      <c r="F61" s="85">
        <f t="shared" si="17"/>
        <v>167.42651145385457</v>
      </c>
      <c r="G61" s="85">
        <f t="shared" si="18"/>
        <v>171.61217424020094</v>
      </c>
      <c r="H61" s="85">
        <f t="shared" si="19"/>
        <v>83.713255726927287</v>
      </c>
      <c r="I61" s="85">
        <f t="shared" si="20"/>
        <v>238.58277882174278</v>
      </c>
      <c r="J61" s="207">
        <f t="shared" si="21"/>
        <v>8371.3255726927291</v>
      </c>
      <c r="K61" s="35" t="str">
        <f t="shared" si="11"/>
        <v>C</v>
      </c>
      <c r="L61" s="69">
        <f t="shared" si="12"/>
        <v>85.311767455120176</v>
      </c>
      <c r="M61" s="263">
        <f t="shared" si="13"/>
        <v>85.311767455120176</v>
      </c>
    </row>
    <row r="62" spans="1:13" x14ac:dyDescent="0.25">
      <c r="A62" s="41">
        <v>2035</v>
      </c>
      <c r="B62" s="41">
        <v>22</v>
      </c>
      <c r="C62" s="85">
        <f t="shared" si="14"/>
        <v>6889.3498065589365</v>
      </c>
      <c r="D62" s="85">
        <f t="shared" si="15"/>
        <v>465.61312835316966</v>
      </c>
      <c r="E62" s="85">
        <f t="shared" si="16"/>
        <v>586.32764311139886</v>
      </c>
      <c r="F62" s="85">
        <f t="shared" si="17"/>
        <v>172.44930679747023</v>
      </c>
      <c r="G62" s="85">
        <f t="shared" si="18"/>
        <v>176.760539467407</v>
      </c>
      <c r="H62" s="85">
        <f t="shared" si="19"/>
        <v>86.224653398735114</v>
      </c>
      <c r="I62" s="85">
        <f t="shared" si="20"/>
        <v>245.74026218639509</v>
      </c>
      <c r="J62" s="207">
        <f t="shared" si="21"/>
        <v>8622.4653398735118</v>
      </c>
      <c r="K62" s="35" t="str">
        <f t="shared" si="11"/>
        <v>C</v>
      </c>
      <c r="L62" s="69">
        <f t="shared" si="12"/>
        <v>85.038350478773779</v>
      </c>
      <c r="M62" s="263">
        <f t="shared" si="13"/>
        <v>85.038350478773779</v>
      </c>
    </row>
    <row r="63" spans="1:13" x14ac:dyDescent="0.25">
      <c r="A63" s="41">
        <v>2036</v>
      </c>
      <c r="B63" s="41">
        <v>23</v>
      </c>
      <c r="C63" s="85">
        <f t="shared" si="14"/>
        <v>7096.030300755705</v>
      </c>
      <c r="D63" s="85">
        <f t="shared" si="15"/>
        <v>479.58152220376479</v>
      </c>
      <c r="E63" s="85">
        <f t="shared" si="16"/>
        <v>603.91747240474081</v>
      </c>
      <c r="F63" s="85">
        <f t="shared" si="17"/>
        <v>177.62278600139436</v>
      </c>
      <c r="G63" s="85">
        <f t="shared" si="18"/>
        <v>182.06335565142922</v>
      </c>
      <c r="H63" s="85">
        <f t="shared" si="19"/>
        <v>88.81139300069718</v>
      </c>
      <c r="I63" s="85">
        <f t="shared" si="20"/>
        <v>253.11247005198697</v>
      </c>
      <c r="J63" s="207">
        <f t="shared" si="21"/>
        <v>8881.1393000697171</v>
      </c>
      <c r="K63" s="35" t="str">
        <f t="shared" si="11"/>
        <v>D</v>
      </c>
      <c r="L63" s="69">
        <f t="shared" si="12"/>
        <v>84.756730993136998</v>
      </c>
      <c r="M63" s="263">
        <f t="shared" si="13"/>
        <v>84.756730993136998</v>
      </c>
    </row>
    <row r="64" spans="1:13" x14ac:dyDescent="0.25">
      <c r="A64" s="41">
        <v>2037</v>
      </c>
      <c r="B64" s="41">
        <v>24</v>
      </c>
      <c r="C64" s="85">
        <f t="shared" si="14"/>
        <v>7308.9112097783745</v>
      </c>
      <c r="D64" s="85">
        <f t="shared" si="15"/>
        <v>493.96896786987764</v>
      </c>
      <c r="E64" s="85">
        <f t="shared" si="16"/>
        <v>622.03499657688292</v>
      </c>
      <c r="F64" s="85">
        <f t="shared" si="17"/>
        <v>182.95146958143616</v>
      </c>
      <c r="G64" s="85">
        <f t="shared" si="18"/>
        <v>187.52525632097206</v>
      </c>
      <c r="H64" s="85">
        <f t="shared" si="19"/>
        <v>91.475734790718079</v>
      </c>
      <c r="I64" s="85">
        <f t="shared" si="20"/>
        <v>260.70584415354654</v>
      </c>
      <c r="J64" s="207">
        <f t="shared" si="21"/>
        <v>9147.5734790718088</v>
      </c>
      <c r="K64" s="35" t="str">
        <f t="shared" si="11"/>
        <v>D</v>
      </c>
      <c r="L64" s="69">
        <f t="shared" si="12"/>
        <v>84.466662922931107</v>
      </c>
      <c r="M64" s="263">
        <f t="shared" si="13"/>
        <v>84.466662922931107</v>
      </c>
    </row>
    <row r="65" spans="1:13" x14ac:dyDescent="0.25">
      <c r="A65" s="41">
        <v>2038</v>
      </c>
      <c r="B65" s="41">
        <v>25</v>
      </c>
      <c r="C65" s="85">
        <f t="shared" si="14"/>
        <v>7528.1785460717256</v>
      </c>
      <c r="D65" s="85">
        <f t="shared" si="15"/>
        <v>508.78803690597397</v>
      </c>
      <c r="E65" s="85">
        <f t="shared" si="16"/>
        <v>640.69604647418942</v>
      </c>
      <c r="F65" s="85">
        <f t="shared" si="17"/>
        <v>188.44001366887923</v>
      </c>
      <c r="G65" s="85">
        <f t="shared" si="18"/>
        <v>193.15101401060122</v>
      </c>
      <c r="H65" s="85">
        <f t="shared" si="19"/>
        <v>94.220006834439616</v>
      </c>
      <c r="I65" s="85">
        <f t="shared" si="20"/>
        <v>268.52701947815291</v>
      </c>
      <c r="J65" s="207">
        <f t="shared" si="21"/>
        <v>9422.0006834439628</v>
      </c>
      <c r="K65" s="35" t="str">
        <f t="shared" si="11"/>
        <v>D</v>
      </c>
      <c r="L65" s="69">
        <f t="shared" si="12"/>
        <v>84.167892810619037</v>
      </c>
      <c r="M65" s="263">
        <f t="shared" si="13"/>
        <v>84.167892810619037</v>
      </c>
    </row>
    <row r="66" spans="1:13" x14ac:dyDescent="0.25">
      <c r="A66" s="41">
        <v>2039</v>
      </c>
      <c r="B66" s="41">
        <v>26</v>
      </c>
      <c r="C66" s="85">
        <f t="shared" si="14"/>
        <v>7754.0239024538787</v>
      </c>
      <c r="D66" s="85">
        <f t="shared" si="15"/>
        <v>524.05167801315326</v>
      </c>
      <c r="E66" s="85">
        <f t="shared" si="16"/>
        <v>659.9169278684152</v>
      </c>
      <c r="F66" s="85">
        <f t="shared" si="17"/>
        <v>194.09321407894566</v>
      </c>
      <c r="G66" s="85">
        <f t="shared" si="18"/>
        <v>198.94554443091928</v>
      </c>
      <c r="H66" s="85">
        <f t="shared" si="19"/>
        <v>97.046607039472832</v>
      </c>
      <c r="I66" s="85">
        <f t="shared" si="20"/>
        <v>276.58283006249758</v>
      </c>
      <c r="J66" s="207">
        <f t="shared" si="21"/>
        <v>9704.6607039472819</v>
      </c>
      <c r="K66" s="35" t="str">
        <f t="shared" si="11"/>
        <v>D</v>
      </c>
      <c r="L66" s="69">
        <f t="shared" si="12"/>
        <v>83.969435868112768</v>
      </c>
      <c r="M66" s="263">
        <f t="shared" si="13"/>
        <v>83.969435868112768</v>
      </c>
    </row>
    <row r="67" spans="1:13" x14ac:dyDescent="0.25">
      <c r="A67" s="41">
        <v>2040</v>
      </c>
      <c r="B67" s="41">
        <v>27</v>
      </c>
      <c r="C67" s="85">
        <f t="shared" si="14"/>
        <v>7986.6446195274939</v>
      </c>
      <c r="D67" s="85">
        <f t="shared" si="15"/>
        <v>539.77322835354778</v>
      </c>
      <c r="E67" s="85">
        <f t="shared" si="16"/>
        <v>679.71443570446763</v>
      </c>
      <c r="F67" s="85">
        <f t="shared" si="17"/>
        <v>199.91601050131399</v>
      </c>
      <c r="G67" s="85">
        <f t="shared" si="18"/>
        <v>204.91391076384684</v>
      </c>
      <c r="H67" s="85">
        <f t="shared" si="19"/>
        <v>99.958005250656996</v>
      </c>
      <c r="I67" s="85">
        <f t="shared" si="20"/>
        <v>284.88031496437242</v>
      </c>
      <c r="J67" s="207">
        <f t="shared" si="21"/>
        <v>9995.8005250656988</v>
      </c>
      <c r="K67" s="35" t="str">
        <f t="shared" si="11"/>
        <v>D</v>
      </c>
      <c r="L67" s="69">
        <f t="shared" si="12"/>
        <v>83.653528944156164</v>
      </c>
      <c r="M67" s="263">
        <f t="shared" si="13"/>
        <v>83.653528944156164</v>
      </c>
    </row>
    <row r="68" spans="1:13" x14ac:dyDescent="0.25">
      <c r="A68" s="41">
        <v>2041</v>
      </c>
      <c r="B68" s="41">
        <v>28</v>
      </c>
      <c r="C68" s="85">
        <f t="shared" si="14"/>
        <v>8226.2439581133185</v>
      </c>
      <c r="D68" s="85">
        <f t="shared" si="15"/>
        <v>555.96642520415423</v>
      </c>
      <c r="E68" s="85">
        <f t="shared" si="16"/>
        <v>700.10586877560161</v>
      </c>
      <c r="F68" s="85">
        <f t="shared" si="17"/>
        <v>205.91349081635343</v>
      </c>
      <c r="G68" s="85">
        <f t="shared" si="18"/>
        <v>211.06132808676224</v>
      </c>
      <c r="H68" s="85">
        <f t="shared" si="19"/>
        <v>102.95674540817672</v>
      </c>
      <c r="I68" s="85">
        <f t="shared" si="20"/>
        <v>293.42672441330365</v>
      </c>
      <c r="J68" s="207">
        <f t="shared" si="21"/>
        <v>10295.674540817672</v>
      </c>
      <c r="K68" s="35" t="str">
        <f t="shared" si="11"/>
        <v>D</v>
      </c>
      <c r="L68" s="69">
        <f t="shared" si="12"/>
        <v>83.328144812480843</v>
      </c>
      <c r="M68" s="263">
        <f t="shared" si="13"/>
        <v>83.328144812480843</v>
      </c>
    </row>
    <row r="69" spans="1:13" x14ac:dyDescent="0.25">
      <c r="A69" s="41">
        <v>2042</v>
      </c>
      <c r="B69" s="41">
        <v>29</v>
      </c>
      <c r="C69" s="85">
        <f t="shared" si="14"/>
        <v>8473.0312768567183</v>
      </c>
      <c r="D69" s="85">
        <f t="shared" si="15"/>
        <v>572.64541796027879</v>
      </c>
      <c r="E69" s="85">
        <f t="shared" si="16"/>
        <v>721.10904483886964</v>
      </c>
      <c r="F69" s="85">
        <f t="shared" si="17"/>
        <v>212.090895540844</v>
      </c>
      <c r="G69" s="85">
        <f t="shared" si="18"/>
        <v>217.39316792936509</v>
      </c>
      <c r="H69" s="85">
        <f t="shared" si="19"/>
        <v>106.045447770422</v>
      </c>
      <c r="I69" s="85">
        <f t="shared" si="20"/>
        <v>302.22952614570272</v>
      </c>
      <c r="J69" s="207">
        <f t="shared" si="21"/>
        <v>10604.5447770422</v>
      </c>
      <c r="K69" s="35" t="str">
        <f t="shared" si="11"/>
        <v>D</v>
      </c>
      <c r="L69" s="69">
        <f t="shared" si="12"/>
        <v>82.992999156855277</v>
      </c>
      <c r="M69" s="263">
        <f t="shared" si="13"/>
        <v>82.992999156855277</v>
      </c>
    </row>
    <row r="70" spans="1:13" x14ac:dyDescent="0.25">
      <c r="A70" s="41">
        <v>2043</v>
      </c>
      <c r="B70" s="41">
        <v>30</v>
      </c>
      <c r="C70" s="85">
        <f t="shared" si="14"/>
        <v>8727.2222151624192</v>
      </c>
      <c r="D70" s="85">
        <f t="shared" si="15"/>
        <v>589.82478049908718</v>
      </c>
      <c r="E70" s="85">
        <f t="shared" si="16"/>
        <v>742.74231618403564</v>
      </c>
      <c r="F70" s="85">
        <f t="shared" si="17"/>
        <v>218.45362240706933</v>
      </c>
      <c r="G70" s="85">
        <f t="shared" si="18"/>
        <v>223.91496296724605</v>
      </c>
      <c r="H70" s="85">
        <f t="shared" si="19"/>
        <v>109.22681120353467</v>
      </c>
      <c r="I70" s="85">
        <f t="shared" si="20"/>
        <v>311.29641193007376</v>
      </c>
      <c r="J70" s="207">
        <f t="shared" si="21"/>
        <v>10922.681120353467</v>
      </c>
      <c r="K70" s="35" t="str">
        <f t="shared" si="11"/>
        <v>D</v>
      </c>
      <c r="L70" s="69">
        <f>IF(K70="E",60,M70)</f>
        <v>82.647799131560916</v>
      </c>
      <c r="M70" s="263">
        <f t="shared" si="13"/>
        <v>82.647799131560916</v>
      </c>
    </row>
    <row r="71" spans="1:13" x14ac:dyDescent="0.25">
      <c r="A71" s="20"/>
      <c r="B71" s="41">
        <v>31</v>
      </c>
      <c r="C71" s="85">
        <f>$C$40*(1+$C$73)^B71</f>
        <v>8989.0388816172926</v>
      </c>
      <c r="D71" s="85">
        <f>$D$40*(1+$D$73)^B71</f>
        <v>607.51952391405985</v>
      </c>
      <c r="E71" s="85">
        <f>$E$40*(1+$E$73)^B71</f>
        <v>765.02458566955693</v>
      </c>
      <c r="F71" s="85">
        <f>$F$40*(1+$F$73)^B71</f>
        <v>225.00723107928144</v>
      </c>
      <c r="G71" s="85">
        <f>$G$40*(1+$G$73)^B71</f>
        <v>230.63241185626347</v>
      </c>
      <c r="H71" s="85">
        <f>$H$40*(1+$H$73)^B71</f>
        <v>112.50361553964072</v>
      </c>
      <c r="I71" s="85">
        <f>$I$40*(1+$I$73)^B71</f>
        <v>320.63530428797606</v>
      </c>
      <c r="J71" s="207">
        <f>SUM(C71:I71)</f>
        <v>11250.361553964072</v>
      </c>
      <c r="K71" s="35" t="str">
        <f>IF($G$38="I",U325,IF($G$38="II",V325,IF($G$38="III",W325)))</f>
        <v>D</v>
      </c>
      <c r="L71" s="69">
        <f>IF(K71="E",60,M71)</f>
        <v>82.292243105507751</v>
      </c>
      <c r="M71" s="263">
        <f>X325</f>
        <v>82.292243105507751</v>
      </c>
    </row>
    <row r="72" spans="1:13" ht="15.75" thickBot="1" x14ac:dyDescent="0.3">
      <c r="A72" s="20"/>
      <c r="B72" s="41">
        <v>32</v>
      </c>
      <c r="C72" s="85">
        <f>$C$40*(1+$C$73)^B72</f>
        <v>9258.71004806581</v>
      </c>
      <c r="D72" s="85">
        <f>$D$40*(1+$D$73)^B72</f>
        <v>625.74510963148157</v>
      </c>
      <c r="E72" s="85">
        <f>$E$40*(1+$E$73)^B72</f>
        <v>787.97532323964344</v>
      </c>
      <c r="F72" s="85">
        <f>$F$40*(1+$F$73)^B72</f>
        <v>231.75744801165985</v>
      </c>
      <c r="G72" s="85">
        <f>$G$40*(1+$G$73)^B72</f>
        <v>237.55138421195133</v>
      </c>
      <c r="H72" s="85">
        <f>$H$40*(1+$H$73)^B72</f>
        <v>115.87872400582992</v>
      </c>
      <c r="I72" s="85">
        <f>$I$40*(1+$I$73)^B72</f>
        <v>330.25436341661526</v>
      </c>
      <c r="J72" s="207">
        <f>SUM(C72:I72)</f>
        <v>11587.872400582992</v>
      </c>
      <c r="K72" s="35" t="str">
        <f>IF($G$38="I",U326,IF($G$38="II",V326,IF($G$38="III",W326)))</f>
        <v>D</v>
      </c>
      <c r="L72" s="69">
        <f>IF(K72="E",60,M72)</f>
        <v>81.926020398672989</v>
      </c>
      <c r="M72" s="263">
        <f>X326</f>
        <v>81.926020398672989</v>
      </c>
    </row>
    <row r="73" spans="1:13" ht="15.75" thickBot="1" x14ac:dyDescent="0.3">
      <c r="A73" s="70"/>
      <c r="B73" s="71" t="s">
        <v>54</v>
      </c>
      <c r="C73" s="72">
        <f t="shared" ref="C73:I73" si="22">C36</f>
        <v>0.03</v>
      </c>
      <c r="D73" s="72">
        <f t="shared" si="22"/>
        <v>0.03</v>
      </c>
      <c r="E73" s="72">
        <f t="shared" si="22"/>
        <v>0.03</v>
      </c>
      <c r="F73" s="72">
        <f t="shared" si="22"/>
        <v>0.03</v>
      </c>
      <c r="G73" s="72">
        <f t="shared" si="22"/>
        <v>0.03</v>
      </c>
      <c r="H73" s="72">
        <f t="shared" si="22"/>
        <v>0.03</v>
      </c>
      <c r="I73" s="72">
        <f t="shared" si="22"/>
        <v>0.03</v>
      </c>
      <c r="J73" s="261"/>
      <c r="K73" s="129"/>
      <c r="L73" s="259"/>
      <c r="M73" s="264"/>
    </row>
    <row r="74" spans="1:13" x14ac:dyDescent="0.25">
      <c r="K74" s="129"/>
      <c r="L74" s="259"/>
      <c r="M74" s="264"/>
    </row>
    <row r="75" spans="1:13" x14ac:dyDescent="0.25">
      <c r="K75" s="129"/>
      <c r="L75" s="259"/>
      <c r="M75" s="264"/>
    </row>
    <row r="76" spans="1:13" x14ac:dyDescent="0.25">
      <c r="A76" s="67" t="s">
        <v>57</v>
      </c>
      <c r="B76" s="67"/>
      <c r="C76" s="67"/>
      <c r="D76" s="67"/>
      <c r="E76" t="s">
        <v>225</v>
      </c>
      <c r="G76" t="str">
        <f>'DATOS DE ENTRADA'!C119</f>
        <v>I</v>
      </c>
      <c r="K76" s="129"/>
      <c r="L76" s="259"/>
      <c r="M76" s="264"/>
    </row>
    <row r="77" spans="1:13" x14ac:dyDescent="0.25">
      <c r="A77" s="68" t="s">
        <v>18</v>
      </c>
      <c r="B77" s="68" t="s">
        <v>45</v>
      </c>
      <c r="C77" s="41" t="s">
        <v>46</v>
      </c>
      <c r="D77" s="41" t="s">
        <v>47</v>
      </c>
      <c r="E77" s="41" t="s">
        <v>48</v>
      </c>
      <c r="F77" s="41" t="s">
        <v>49</v>
      </c>
      <c r="G77" s="41" t="s">
        <v>50</v>
      </c>
      <c r="H77" s="41" t="s">
        <v>51</v>
      </c>
      <c r="I77" s="41" t="s">
        <v>52</v>
      </c>
      <c r="J77" s="260" t="s">
        <v>14</v>
      </c>
      <c r="K77" s="151" t="s">
        <v>224</v>
      </c>
      <c r="L77" s="41" t="s">
        <v>218</v>
      </c>
      <c r="M77" s="253" t="s">
        <v>218</v>
      </c>
    </row>
    <row r="78" spans="1:13" x14ac:dyDescent="0.25">
      <c r="A78" s="41">
        <v>2013</v>
      </c>
      <c r="B78" s="41">
        <v>0</v>
      </c>
      <c r="C78" s="84">
        <f>'DATOS DE ENTRADA'!$C$9*'DATOS DE ENTRADA'!C11</f>
        <v>7191</v>
      </c>
      <c r="D78" s="84">
        <f>'DATOS DE ENTRADA'!$C$9*'DATOS DE ENTRADA'!C12</f>
        <v>486</v>
      </c>
      <c r="E78" s="84">
        <f>'DATOS DE ENTRADA'!$C$9*'DATOS DE ENTRADA'!C13</f>
        <v>612</v>
      </c>
      <c r="F78" s="84">
        <f>'DATOS DE ENTRADA'!$C$9*'DATOS DE ENTRADA'!C14</f>
        <v>180</v>
      </c>
      <c r="G78" s="84">
        <f>'DATOS DE ENTRADA'!$C$9*'DATOS DE ENTRADA'!C15</f>
        <v>184.5</v>
      </c>
      <c r="H78" s="84">
        <f>'DATOS DE ENTRADA'!$C$9*'DATOS DE ENTRADA'!C16</f>
        <v>90</v>
      </c>
      <c r="I78" s="84">
        <f>'DATOS DE ENTRADA'!$C$9*'DATOS DE ENTRADA'!C17</f>
        <v>256.5</v>
      </c>
      <c r="J78" s="76">
        <f>SUM(C78:I78)</f>
        <v>9000</v>
      </c>
      <c r="K78" s="35" t="str">
        <f t="shared" ref="K78:K108" si="23">IF($G$76="I",U330,IF($G$76="II",V330,IF($G$76="III",W330)))</f>
        <v>D</v>
      </c>
      <c r="L78" s="69">
        <f t="shared" ref="L78:L108" si="24">IF(K78="E",60,M78)</f>
        <v>81.82732682291666</v>
      </c>
      <c r="M78" s="263">
        <f t="shared" ref="M78:M108" si="25">X330</f>
        <v>81.82732682291666</v>
      </c>
    </row>
    <row r="79" spans="1:13" x14ac:dyDescent="0.25">
      <c r="A79" s="41">
        <v>2014</v>
      </c>
      <c r="B79" s="41">
        <v>1</v>
      </c>
      <c r="C79" s="85">
        <f>C78*(1+C111)^$B$79</f>
        <v>7406.7300000000005</v>
      </c>
      <c r="D79" s="85">
        <f t="shared" ref="D79:D110" si="26">$D$78*(1+$D$111)^B79</f>
        <v>500.58000000000004</v>
      </c>
      <c r="E79" s="85">
        <f t="shared" ref="E79:E110" si="27">$E$78*(1+$E$111)^B79</f>
        <v>630.36</v>
      </c>
      <c r="F79" s="85">
        <f t="shared" ref="F79:F110" si="28">$F$78*(1+$F$111)^B79</f>
        <v>185.4</v>
      </c>
      <c r="G79" s="85">
        <f t="shared" ref="G79:G110" si="29">$G$78*(1+$G$111)^B79</f>
        <v>190.035</v>
      </c>
      <c r="H79" s="85">
        <f t="shared" ref="H79:H110" si="30">$H$78*(1+$H$111)^B79</f>
        <v>92.7</v>
      </c>
      <c r="I79" s="85">
        <f t="shared" ref="I79:I110" si="31">$I$78*(1+$I$111)^B79</f>
        <v>264.19499999999999</v>
      </c>
      <c r="J79" s="76">
        <f t="shared" ref="J79:J108" si="32">SUM(C79:I79)</f>
        <v>9270</v>
      </c>
      <c r="K79" s="35" t="str">
        <f t="shared" si="23"/>
        <v>D</v>
      </c>
      <c r="L79" s="69">
        <f t="shared" si="24"/>
        <v>81.533376627604156</v>
      </c>
      <c r="M79" s="263">
        <f t="shared" si="25"/>
        <v>81.533376627604156</v>
      </c>
    </row>
    <row r="80" spans="1:13" x14ac:dyDescent="0.25">
      <c r="A80" s="41">
        <v>2015</v>
      </c>
      <c r="B80" s="41">
        <v>2</v>
      </c>
      <c r="C80" s="85">
        <f t="shared" ref="C80:C110" si="33">$C$78*(1+$C$111)^B80</f>
        <v>7628.9318999999996</v>
      </c>
      <c r="D80" s="85">
        <f t="shared" si="26"/>
        <v>515.59739999999999</v>
      </c>
      <c r="E80" s="85">
        <f t="shared" si="27"/>
        <v>649.27080000000001</v>
      </c>
      <c r="F80" s="85">
        <f t="shared" si="28"/>
        <v>190.96199999999999</v>
      </c>
      <c r="G80" s="85">
        <f t="shared" si="29"/>
        <v>195.73604999999998</v>
      </c>
      <c r="H80" s="85">
        <f t="shared" si="30"/>
        <v>95.480999999999995</v>
      </c>
      <c r="I80" s="85">
        <f t="shared" si="31"/>
        <v>272.12084999999996</v>
      </c>
      <c r="J80" s="76">
        <f t="shared" si="32"/>
        <v>9548.0999999999967</v>
      </c>
      <c r="K80" s="35" t="str">
        <f t="shared" si="23"/>
        <v>D</v>
      </c>
      <c r="L80" s="69">
        <f t="shared" si="24"/>
        <v>81.230607926432285</v>
      </c>
      <c r="M80" s="263">
        <f t="shared" si="25"/>
        <v>81.230607926432285</v>
      </c>
    </row>
    <row r="81" spans="1:13" x14ac:dyDescent="0.25">
      <c r="A81" s="41">
        <v>2016</v>
      </c>
      <c r="B81" s="41">
        <v>3</v>
      </c>
      <c r="C81" s="85">
        <f t="shared" si="33"/>
        <v>7857.799857</v>
      </c>
      <c r="D81" s="85">
        <f t="shared" si="26"/>
        <v>531.06532200000004</v>
      </c>
      <c r="E81" s="85">
        <f t="shared" si="27"/>
        <v>668.74892399999999</v>
      </c>
      <c r="F81" s="85">
        <f t="shared" si="28"/>
        <v>196.69085999999999</v>
      </c>
      <c r="G81" s="85">
        <f t="shared" si="29"/>
        <v>201.60813150000001</v>
      </c>
      <c r="H81" s="85">
        <f t="shared" si="30"/>
        <v>98.345429999999993</v>
      </c>
      <c r="I81" s="85">
        <f t="shared" si="31"/>
        <v>280.28447549999999</v>
      </c>
      <c r="J81" s="76">
        <f t="shared" si="32"/>
        <v>9834.5429999999997</v>
      </c>
      <c r="K81" s="35" t="str">
        <f t="shared" si="23"/>
        <v>D</v>
      </c>
      <c r="L81" s="69">
        <f t="shared" si="24"/>
        <v>81.028504557291669</v>
      </c>
      <c r="M81" s="263">
        <f t="shared" si="25"/>
        <v>81.028504557291669</v>
      </c>
    </row>
    <row r="82" spans="1:13" x14ac:dyDescent="0.25">
      <c r="A82" s="41">
        <v>2017</v>
      </c>
      <c r="B82" s="41">
        <v>4</v>
      </c>
      <c r="C82" s="85">
        <f t="shared" si="33"/>
        <v>8093.5338527099993</v>
      </c>
      <c r="D82" s="85">
        <f t="shared" si="26"/>
        <v>546.99728166</v>
      </c>
      <c r="E82" s="85">
        <f t="shared" si="27"/>
        <v>688.81139171999996</v>
      </c>
      <c r="F82" s="85">
        <f t="shared" si="28"/>
        <v>202.59158579999999</v>
      </c>
      <c r="G82" s="85">
        <f t="shared" si="29"/>
        <v>207.65637544499998</v>
      </c>
      <c r="H82" s="85">
        <f t="shared" si="30"/>
        <v>101.2957929</v>
      </c>
      <c r="I82" s="85">
        <f t="shared" si="31"/>
        <v>288.693009765</v>
      </c>
      <c r="J82" s="76">
        <f t="shared" si="32"/>
        <v>10129.579290000001</v>
      </c>
      <c r="K82" s="35" t="str">
        <f t="shared" si="23"/>
        <v>D</v>
      </c>
      <c r="L82" s="69">
        <f t="shared" si="24"/>
        <v>80.708369694010415</v>
      </c>
      <c r="M82" s="263">
        <f t="shared" si="25"/>
        <v>80.708369694010415</v>
      </c>
    </row>
    <row r="83" spans="1:13" x14ac:dyDescent="0.25">
      <c r="A83" s="41">
        <v>2018</v>
      </c>
      <c r="B83" s="41">
        <v>5</v>
      </c>
      <c r="C83" s="85">
        <f t="shared" si="33"/>
        <v>8336.3398682912994</v>
      </c>
      <c r="D83" s="85">
        <f t="shared" si="26"/>
        <v>563.40720010979987</v>
      </c>
      <c r="E83" s="85">
        <f t="shared" si="27"/>
        <v>709.47573347159994</v>
      </c>
      <c r="F83" s="85">
        <f t="shared" si="28"/>
        <v>208.66933337399996</v>
      </c>
      <c r="G83" s="85">
        <f t="shared" si="29"/>
        <v>213.88606670834997</v>
      </c>
      <c r="H83" s="85">
        <f t="shared" si="30"/>
        <v>104.33466668699998</v>
      </c>
      <c r="I83" s="85">
        <f t="shared" si="31"/>
        <v>297.35380005794997</v>
      </c>
      <c r="J83" s="76">
        <f t="shared" si="32"/>
        <v>10433.466668699999</v>
      </c>
      <c r="K83" s="35" t="str">
        <f t="shared" si="23"/>
        <v>D</v>
      </c>
      <c r="L83" s="69">
        <f t="shared" si="24"/>
        <v>80.378630784830733</v>
      </c>
      <c r="M83" s="263">
        <f t="shared" si="25"/>
        <v>80.378630784830733</v>
      </c>
    </row>
    <row r="84" spans="1:13" x14ac:dyDescent="0.25">
      <c r="A84" s="41">
        <v>2019</v>
      </c>
      <c r="B84" s="41">
        <v>6</v>
      </c>
      <c r="C84" s="85">
        <f t="shared" si="33"/>
        <v>8586.4300643400384</v>
      </c>
      <c r="D84" s="85">
        <f t="shared" si="26"/>
        <v>580.3094161130939</v>
      </c>
      <c r="E84" s="85">
        <f t="shared" si="27"/>
        <v>730.7600054757479</v>
      </c>
      <c r="F84" s="85">
        <f t="shared" si="28"/>
        <v>214.92941337521998</v>
      </c>
      <c r="G84" s="85">
        <f t="shared" si="29"/>
        <v>220.30264870960048</v>
      </c>
      <c r="H84" s="85">
        <f t="shared" si="30"/>
        <v>107.46470668760999</v>
      </c>
      <c r="I84" s="85">
        <f t="shared" si="31"/>
        <v>306.27441405968847</v>
      </c>
      <c r="J84" s="76">
        <f t="shared" si="32"/>
        <v>10746.470668760998</v>
      </c>
      <c r="K84" s="35" t="str">
        <f t="shared" si="23"/>
        <v>D</v>
      </c>
      <c r="L84" s="69">
        <f t="shared" si="24"/>
        <v>80.038999708375655</v>
      </c>
      <c r="M84" s="263">
        <f t="shared" si="25"/>
        <v>80.038999708375655</v>
      </c>
    </row>
    <row r="85" spans="1:13" x14ac:dyDescent="0.25">
      <c r="A85" s="41">
        <v>2020</v>
      </c>
      <c r="B85" s="41">
        <v>7</v>
      </c>
      <c r="C85" s="85">
        <f t="shared" si="33"/>
        <v>8844.0229662702404</v>
      </c>
      <c r="D85" s="85">
        <f t="shared" si="26"/>
        <v>597.71869859648677</v>
      </c>
      <c r="E85" s="85">
        <f t="shared" si="27"/>
        <v>752.68280564002043</v>
      </c>
      <c r="F85" s="85">
        <f t="shared" si="28"/>
        <v>221.37729577647659</v>
      </c>
      <c r="G85" s="85">
        <f t="shared" si="29"/>
        <v>226.91172817088852</v>
      </c>
      <c r="H85" s="85">
        <f t="shared" si="30"/>
        <v>110.68864788823829</v>
      </c>
      <c r="I85" s="85">
        <f t="shared" si="31"/>
        <v>315.46264648147917</v>
      </c>
      <c r="J85" s="76">
        <f t="shared" si="32"/>
        <v>11068.86478882383</v>
      </c>
      <c r="K85" s="35" t="str">
        <f t="shared" si="23"/>
        <v>D</v>
      </c>
      <c r="L85" s="69">
        <f t="shared" si="24"/>
        <v>79.689179699626933</v>
      </c>
      <c r="M85" s="263">
        <f t="shared" si="25"/>
        <v>79.689179699626933</v>
      </c>
    </row>
    <row r="86" spans="1:13" x14ac:dyDescent="0.25">
      <c r="A86" s="41">
        <v>2021</v>
      </c>
      <c r="B86" s="41">
        <v>8</v>
      </c>
      <c r="C86" s="85">
        <f t="shared" si="33"/>
        <v>9109.3436552583462</v>
      </c>
      <c r="D86" s="85">
        <f t="shared" si="26"/>
        <v>615.65025955438136</v>
      </c>
      <c r="E86" s="85">
        <f t="shared" si="27"/>
        <v>775.26328980922096</v>
      </c>
      <c r="F86" s="85">
        <f t="shared" si="28"/>
        <v>228.01861464977088</v>
      </c>
      <c r="G86" s="85">
        <f t="shared" si="29"/>
        <v>233.71908001601514</v>
      </c>
      <c r="H86" s="85">
        <f t="shared" si="30"/>
        <v>114.00930732488544</v>
      </c>
      <c r="I86" s="85">
        <f t="shared" si="31"/>
        <v>324.92652587592346</v>
      </c>
      <c r="J86" s="76">
        <f t="shared" si="32"/>
        <v>11400.930732488545</v>
      </c>
      <c r="K86" s="35" t="str">
        <f t="shared" si="23"/>
        <v>D</v>
      </c>
      <c r="L86" s="69">
        <f t="shared" si="24"/>
        <v>79.328865090615736</v>
      </c>
      <c r="M86" s="263">
        <f t="shared" si="25"/>
        <v>79.328865090615736</v>
      </c>
    </row>
    <row r="87" spans="1:13" x14ac:dyDescent="0.25">
      <c r="A87" s="41">
        <v>2022</v>
      </c>
      <c r="B87" s="41">
        <v>9</v>
      </c>
      <c r="C87" s="85">
        <f t="shared" si="33"/>
        <v>9382.6239649160962</v>
      </c>
      <c r="D87" s="85">
        <f t="shared" si="26"/>
        <v>634.11976734101279</v>
      </c>
      <c r="E87" s="85">
        <f t="shared" si="27"/>
        <v>798.52118850349757</v>
      </c>
      <c r="F87" s="85">
        <f t="shared" si="28"/>
        <v>234.859173089264</v>
      </c>
      <c r="G87" s="85">
        <f t="shared" si="29"/>
        <v>240.73065241649562</v>
      </c>
      <c r="H87" s="85">
        <f t="shared" si="30"/>
        <v>117.429586544632</v>
      </c>
      <c r="I87" s="85">
        <f t="shared" si="31"/>
        <v>334.67432165220123</v>
      </c>
      <c r="J87" s="76">
        <f t="shared" si="32"/>
        <v>11742.9586544632</v>
      </c>
      <c r="K87" s="35" t="str">
        <f t="shared" si="23"/>
        <v>D</v>
      </c>
      <c r="L87" s="69">
        <f t="shared" si="24"/>
        <v>78.95774104333421</v>
      </c>
      <c r="M87" s="263">
        <f t="shared" si="25"/>
        <v>78.95774104333421</v>
      </c>
    </row>
    <row r="88" spans="1:13" x14ac:dyDescent="0.25">
      <c r="A88" s="41">
        <v>2023</v>
      </c>
      <c r="B88" s="41">
        <v>10</v>
      </c>
      <c r="C88" s="85">
        <f t="shared" si="33"/>
        <v>9664.1026838635789</v>
      </c>
      <c r="D88" s="85">
        <f t="shared" si="26"/>
        <v>653.14336036124314</v>
      </c>
      <c r="E88" s="85">
        <f t="shared" si="27"/>
        <v>822.47682415860254</v>
      </c>
      <c r="F88" s="85">
        <f t="shared" si="28"/>
        <v>241.90494828194193</v>
      </c>
      <c r="G88" s="85">
        <f t="shared" si="29"/>
        <v>247.95257198899046</v>
      </c>
      <c r="H88" s="85">
        <f t="shared" si="30"/>
        <v>120.95247414097096</v>
      </c>
      <c r="I88" s="85">
        <f t="shared" si="31"/>
        <v>344.71455130176724</v>
      </c>
      <c r="J88" s="76">
        <f t="shared" si="32"/>
        <v>12095.247414097097</v>
      </c>
      <c r="K88" s="35" t="str">
        <f t="shared" si="23"/>
        <v>D</v>
      </c>
      <c r="L88" s="69">
        <f t="shared" si="24"/>
        <v>78.575483274634237</v>
      </c>
      <c r="M88" s="263">
        <f t="shared" si="25"/>
        <v>78.575483274634237</v>
      </c>
    </row>
    <row r="89" spans="1:13" x14ac:dyDescent="0.25">
      <c r="A89" s="41">
        <v>2024</v>
      </c>
      <c r="B89" s="41">
        <v>11</v>
      </c>
      <c r="C89" s="85">
        <f t="shared" si="33"/>
        <v>9954.0257643794866</v>
      </c>
      <c r="D89" s="85">
        <f t="shared" si="26"/>
        <v>672.73766117208049</v>
      </c>
      <c r="E89" s="85">
        <f t="shared" si="27"/>
        <v>847.15112888336068</v>
      </c>
      <c r="F89" s="85">
        <f t="shared" si="28"/>
        <v>249.16209673040018</v>
      </c>
      <c r="G89" s="85">
        <f t="shared" si="29"/>
        <v>255.39114914866019</v>
      </c>
      <c r="H89" s="85">
        <f t="shared" si="30"/>
        <v>124.58104836520009</v>
      </c>
      <c r="I89" s="85">
        <f t="shared" si="31"/>
        <v>355.05598784082025</v>
      </c>
      <c r="J89" s="76">
        <f t="shared" si="32"/>
        <v>12458.104836520009</v>
      </c>
      <c r="K89" s="35" t="str">
        <f t="shared" si="23"/>
        <v>D</v>
      </c>
      <c r="L89" s="69">
        <f t="shared" si="24"/>
        <v>78.181757772873254</v>
      </c>
      <c r="M89" s="263">
        <f t="shared" si="25"/>
        <v>78.181757772873254</v>
      </c>
    </row>
    <row r="90" spans="1:13" x14ac:dyDescent="0.25">
      <c r="A90" s="41">
        <v>2025</v>
      </c>
      <c r="B90" s="41">
        <v>12</v>
      </c>
      <c r="C90" s="85">
        <f t="shared" si="33"/>
        <v>10252.646537310871</v>
      </c>
      <c r="D90" s="85">
        <f t="shared" si="26"/>
        <v>692.91979100724279</v>
      </c>
      <c r="E90" s="85">
        <f t="shared" si="27"/>
        <v>872.5656627498613</v>
      </c>
      <c r="F90" s="85">
        <f t="shared" si="28"/>
        <v>256.63695963231214</v>
      </c>
      <c r="G90" s="85">
        <f t="shared" si="29"/>
        <v>263.05288362311995</v>
      </c>
      <c r="H90" s="85">
        <f t="shared" si="30"/>
        <v>128.31847981615607</v>
      </c>
      <c r="I90" s="85">
        <f t="shared" si="31"/>
        <v>365.70766747604483</v>
      </c>
      <c r="J90" s="76">
        <f t="shared" si="32"/>
        <v>12831.84798161561</v>
      </c>
      <c r="K90" s="35" t="str">
        <f t="shared" si="23"/>
        <v>D</v>
      </c>
      <c r="L90" s="69">
        <f t="shared" si="24"/>
        <v>77.77622050605946</v>
      </c>
      <c r="M90" s="263">
        <f t="shared" si="25"/>
        <v>77.77622050605946</v>
      </c>
    </row>
    <row r="91" spans="1:13" x14ac:dyDescent="0.25">
      <c r="A91" s="41">
        <v>2026</v>
      </c>
      <c r="B91" s="41">
        <v>13</v>
      </c>
      <c r="C91" s="85">
        <f t="shared" si="33"/>
        <v>10560.225933430196</v>
      </c>
      <c r="D91" s="85">
        <f t="shared" si="26"/>
        <v>713.70738473746007</v>
      </c>
      <c r="E91" s="85">
        <f t="shared" si="27"/>
        <v>898.74263263235707</v>
      </c>
      <c r="F91" s="85">
        <f t="shared" si="28"/>
        <v>264.33606842128148</v>
      </c>
      <c r="G91" s="85">
        <f t="shared" si="29"/>
        <v>270.94447013181355</v>
      </c>
      <c r="H91" s="85">
        <f t="shared" si="30"/>
        <v>132.16803421064074</v>
      </c>
      <c r="I91" s="85">
        <f t="shared" si="31"/>
        <v>376.67889750032617</v>
      </c>
      <c r="J91" s="76">
        <f t="shared" si="32"/>
        <v>13216.803421064074</v>
      </c>
      <c r="K91" s="35" t="str">
        <f t="shared" si="23"/>
        <v>D</v>
      </c>
      <c r="L91" s="69">
        <f t="shared" si="24"/>
        <v>77.358517121241235</v>
      </c>
      <c r="M91" s="263">
        <f t="shared" si="25"/>
        <v>77.358517121241235</v>
      </c>
    </row>
    <row r="92" spans="1:13" x14ac:dyDescent="0.25">
      <c r="A92" s="41">
        <v>2027</v>
      </c>
      <c r="B92" s="41">
        <v>14</v>
      </c>
      <c r="C92" s="85">
        <f t="shared" si="33"/>
        <v>10877.032711433103</v>
      </c>
      <c r="D92" s="85">
        <f t="shared" si="26"/>
        <v>735.1186062795839</v>
      </c>
      <c r="E92" s="85">
        <f t="shared" si="27"/>
        <v>925.70491161132793</v>
      </c>
      <c r="F92" s="85">
        <f t="shared" si="28"/>
        <v>272.26615047391999</v>
      </c>
      <c r="G92" s="85">
        <f t="shared" si="29"/>
        <v>279.07280423576799</v>
      </c>
      <c r="H92" s="85">
        <f t="shared" si="30"/>
        <v>136.13307523696</v>
      </c>
      <c r="I92" s="85">
        <f t="shared" si="31"/>
        <v>387.979264425336</v>
      </c>
      <c r="J92" s="76">
        <f t="shared" si="32"/>
        <v>13613.307523695999</v>
      </c>
      <c r="K92" s="35" t="str">
        <f t="shared" si="23"/>
        <v>D</v>
      </c>
      <c r="L92" s="69">
        <f t="shared" si="24"/>
        <v>76.928282634878471</v>
      </c>
      <c r="M92" s="263">
        <f t="shared" si="25"/>
        <v>76.928282634878471</v>
      </c>
    </row>
    <row r="93" spans="1:13" x14ac:dyDescent="0.25">
      <c r="A93" s="41">
        <v>2028</v>
      </c>
      <c r="B93" s="41">
        <v>15</v>
      </c>
      <c r="C93" s="85">
        <f t="shared" si="33"/>
        <v>11203.343692776098</v>
      </c>
      <c r="D93" s="85">
        <f t="shared" si="26"/>
        <v>757.17216446797147</v>
      </c>
      <c r="E93" s="85">
        <f t="shared" si="27"/>
        <v>953.47605895966785</v>
      </c>
      <c r="F93" s="85">
        <f t="shared" si="28"/>
        <v>280.4341349881376</v>
      </c>
      <c r="G93" s="85">
        <f t="shared" si="29"/>
        <v>287.44498836284106</v>
      </c>
      <c r="H93" s="85">
        <f t="shared" si="30"/>
        <v>140.2170674940688</v>
      </c>
      <c r="I93" s="85">
        <f t="shared" si="31"/>
        <v>399.61864235809605</v>
      </c>
      <c r="J93" s="76">
        <f t="shared" si="32"/>
        <v>14021.70674940688</v>
      </c>
      <c r="K93" s="35" t="str">
        <f t="shared" si="23"/>
        <v>D</v>
      </c>
      <c r="L93" s="69">
        <f t="shared" si="24"/>
        <v>76.485141113924826</v>
      </c>
      <c r="M93" s="263">
        <f t="shared" si="25"/>
        <v>76.485141113924826</v>
      </c>
    </row>
    <row r="94" spans="1:13" x14ac:dyDescent="0.25">
      <c r="A94" s="41">
        <v>2029</v>
      </c>
      <c r="B94" s="41">
        <v>16</v>
      </c>
      <c r="C94" s="85">
        <f t="shared" si="33"/>
        <v>11539.444003559378</v>
      </c>
      <c r="D94" s="85">
        <f t="shared" si="26"/>
        <v>779.88732940201055</v>
      </c>
      <c r="E94" s="85">
        <f t="shared" si="27"/>
        <v>982.08034072845771</v>
      </c>
      <c r="F94" s="85">
        <f t="shared" si="28"/>
        <v>288.84715903778169</v>
      </c>
      <c r="G94" s="85">
        <f t="shared" si="29"/>
        <v>296.06833801372619</v>
      </c>
      <c r="H94" s="85">
        <f t="shared" si="30"/>
        <v>144.42357951889085</v>
      </c>
      <c r="I94" s="85">
        <f t="shared" si="31"/>
        <v>411.60720162883888</v>
      </c>
      <c r="J94" s="76">
        <f t="shared" si="32"/>
        <v>14442.357951889084</v>
      </c>
      <c r="K94" s="35" t="str">
        <f t="shared" si="23"/>
        <v>D</v>
      </c>
      <c r="L94" s="69">
        <f t="shared" si="24"/>
        <v>76.02870534734258</v>
      </c>
      <c r="M94" s="263">
        <f t="shared" si="25"/>
        <v>76.02870534734258</v>
      </c>
    </row>
    <row r="95" spans="1:13" x14ac:dyDescent="0.25">
      <c r="A95" s="41">
        <v>2030</v>
      </c>
      <c r="B95" s="41">
        <v>17</v>
      </c>
      <c r="C95" s="85">
        <f t="shared" si="33"/>
        <v>11885.62732366616</v>
      </c>
      <c r="D95" s="85">
        <f t="shared" si="26"/>
        <v>803.28394928407079</v>
      </c>
      <c r="E95" s="85">
        <f t="shared" si="27"/>
        <v>1011.5427509503114</v>
      </c>
      <c r="F95" s="85">
        <f t="shared" si="28"/>
        <v>297.51257380891514</v>
      </c>
      <c r="G95" s="85">
        <f t="shared" si="29"/>
        <v>304.95038815413801</v>
      </c>
      <c r="H95" s="85">
        <f t="shared" si="30"/>
        <v>148.75628690445757</v>
      </c>
      <c r="I95" s="85">
        <f t="shared" si="31"/>
        <v>423.95541767770408</v>
      </c>
      <c r="J95" s="76">
        <f t="shared" si="32"/>
        <v>14875.628690445757</v>
      </c>
      <c r="K95" s="35" t="str">
        <f t="shared" si="23"/>
        <v>D</v>
      </c>
      <c r="L95" s="69">
        <f t="shared" si="24"/>
        <v>75.558576507762851</v>
      </c>
      <c r="M95" s="263">
        <f t="shared" si="25"/>
        <v>75.558576507762851</v>
      </c>
    </row>
    <row r="96" spans="1:13" x14ac:dyDescent="0.25">
      <c r="A96" s="41">
        <v>2031</v>
      </c>
      <c r="B96" s="41">
        <v>18</v>
      </c>
      <c r="C96" s="85">
        <f t="shared" si="33"/>
        <v>12242.196143376144</v>
      </c>
      <c r="D96" s="85">
        <f t="shared" si="26"/>
        <v>827.38246776259302</v>
      </c>
      <c r="E96" s="85">
        <f t="shared" si="27"/>
        <v>1041.8890334788207</v>
      </c>
      <c r="F96" s="85">
        <f t="shared" si="28"/>
        <v>306.43795102318256</v>
      </c>
      <c r="G96" s="85">
        <f t="shared" si="29"/>
        <v>314.09889979876215</v>
      </c>
      <c r="H96" s="85">
        <f t="shared" si="30"/>
        <v>153.21897551159128</v>
      </c>
      <c r="I96" s="85">
        <f t="shared" si="31"/>
        <v>436.67408020803521</v>
      </c>
      <c r="J96" s="76">
        <f t="shared" si="32"/>
        <v>15321.897551159129</v>
      </c>
      <c r="K96" s="35" t="str">
        <f t="shared" si="23"/>
        <v>D</v>
      </c>
      <c r="L96" s="69">
        <f t="shared" si="24"/>
        <v>75.074343802995742</v>
      </c>
      <c r="M96" s="263">
        <f t="shared" si="25"/>
        <v>75.074343802995742</v>
      </c>
    </row>
    <row r="97" spans="1:13" x14ac:dyDescent="0.25">
      <c r="A97" s="41">
        <v>2032</v>
      </c>
      <c r="B97" s="41">
        <v>19</v>
      </c>
      <c r="C97" s="85">
        <f t="shared" si="33"/>
        <v>12609.462027677428</v>
      </c>
      <c r="D97" s="85">
        <f t="shared" si="26"/>
        <v>852.20394179547077</v>
      </c>
      <c r="E97" s="85">
        <f t="shared" si="27"/>
        <v>1073.1457044831855</v>
      </c>
      <c r="F97" s="85">
        <f t="shared" si="28"/>
        <v>315.63108955387804</v>
      </c>
      <c r="G97" s="85">
        <f t="shared" si="29"/>
        <v>323.52186679272501</v>
      </c>
      <c r="H97" s="85">
        <f t="shared" si="30"/>
        <v>157.81554477693902</v>
      </c>
      <c r="I97" s="85">
        <f t="shared" si="31"/>
        <v>449.77430261427622</v>
      </c>
      <c r="J97" s="76">
        <f t="shared" si="32"/>
        <v>15781.554477693902</v>
      </c>
      <c r="K97" s="35" t="str">
        <f t="shared" si="23"/>
        <v>D</v>
      </c>
      <c r="L97" s="69">
        <f t="shared" si="24"/>
        <v>74.575584117085612</v>
      </c>
      <c r="M97" s="263">
        <f t="shared" si="25"/>
        <v>74.575584117085612</v>
      </c>
    </row>
    <row r="98" spans="1:13" x14ac:dyDescent="0.25">
      <c r="A98" s="41">
        <v>2033</v>
      </c>
      <c r="B98" s="41">
        <v>20</v>
      </c>
      <c r="C98" s="85">
        <f t="shared" si="33"/>
        <v>12987.74588850775</v>
      </c>
      <c r="D98" s="85">
        <f t="shared" si="26"/>
        <v>877.7700600493348</v>
      </c>
      <c r="E98" s="85">
        <f t="shared" si="27"/>
        <v>1105.3400756176809</v>
      </c>
      <c r="F98" s="85">
        <f t="shared" si="28"/>
        <v>325.10002224049441</v>
      </c>
      <c r="G98" s="85">
        <f t="shared" si="29"/>
        <v>333.22752279650672</v>
      </c>
      <c r="H98" s="85">
        <f t="shared" si="30"/>
        <v>162.55001112024721</v>
      </c>
      <c r="I98" s="85">
        <f t="shared" si="31"/>
        <v>463.26753169270449</v>
      </c>
      <c r="J98" s="76">
        <f t="shared" si="32"/>
        <v>16255.001112024722</v>
      </c>
      <c r="K98" s="35" t="str">
        <f t="shared" si="23"/>
        <v>D</v>
      </c>
      <c r="L98" s="69">
        <f t="shared" si="24"/>
        <v>74.061861640598181</v>
      </c>
      <c r="M98" s="263">
        <f t="shared" si="25"/>
        <v>74.061861640598181</v>
      </c>
    </row>
    <row r="99" spans="1:13" x14ac:dyDescent="0.25">
      <c r="A99" s="41">
        <v>2034</v>
      </c>
      <c r="B99" s="41">
        <v>21</v>
      </c>
      <c r="C99" s="85">
        <f t="shared" si="33"/>
        <v>13377.378265162981</v>
      </c>
      <c r="D99" s="85">
        <f t="shared" si="26"/>
        <v>904.10316185081479</v>
      </c>
      <c r="E99" s="85">
        <f t="shared" si="27"/>
        <v>1138.5002778862113</v>
      </c>
      <c r="F99" s="85">
        <f t="shared" si="28"/>
        <v>334.85302290770915</v>
      </c>
      <c r="G99" s="85">
        <f t="shared" si="29"/>
        <v>343.22434848040189</v>
      </c>
      <c r="H99" s="85">
        <f t="shared" si="30"/>
        <v>167.42651145385457</v>
      </c>
      <c r="I99" s="85">
        <f t="shared" si="31"/>
        <v>477.16555764348556</v>
      </c>
      <c r="J99" s="76">
        <f t="shared" si="32"/>
        <v>16742.651145385458</v>
      </c>
      <c r="K99" s="35" t="str">
        <f t="shared" si="23"/>
        <v>D</v>
      </c>
      <c r="L99" s="69">
        <f t="shared" si="24"/>
        <v>73.532727489816125</v>
      </c>
      <c r="M99" s="263">
        <f t="shared" si="25"/>
        <v>73.532727489816125</v>
      </c>
    </row>
    <row r="100" spans="1:13" x14ac:dyDescent="0.25">
      <c r="A100" s="41">
        <v>2035</v>
      </c>
      <c r="B100" s="41">
        <v>22</v>
      </c>
      <c r="C100" s="85">
        <f t="shared" si="33"/>
        <v>13778.699613117873</v>
      </c>
      <c r="D100" s="85">
        <f t="shared" si="26"/>
        <v>931.22625670633931</v>
      </c>
      <c r="E100" s="85">
        <f t="shared" si="27"/>
        <v>1172.6552862227977</v>
      </c>
      <c r="F100" s="85">
        <f t="shared" si="28"/>
        <v>344.89861359494046</v>
      </c>
      <c r="G100" s="85">
        <f t="shared" si="29"/>
        <v>353.521078934814</v>
      </c>
      <c r="H100" s="85">
        <f t="shared" si="30"/>
        <v>172.44930679747023</v>
      </c>
      <c r="I100" s="85">
        <f t="shared" si="31"/>
        <v>491.48052437279017</v>
      </c>
      <c r="J100" s="76">
        <f t="shared" si="32"/>
        <v>17244.930679747024</v>
      </c>
      <c r="K100" s="35" t="str">
        <f t="shared" si="23"/>
        <v>E</v>
      </c>
      <c r="L100" s="69">
        <f t="shared" si="24"/>
        <v>60</v>
      </c>
      <c r="M100" s="263">
        <f t="shared" si="25"/>
        <v>73.0177193145106</v>
      </c>
    </row>
    <row r="101" spans="1:13" x14ac:dyDescent="0.25">
      <c r="A101" s="41">
        <v>2036</v>
      </c>
      <c r="B101" s="41">
        <v>23</v>
      </c>
      <c r="C101" s="85">
        <f t="shared" si="33"/>
        <v>14192.06060151141</v>
      </c>
      <c r="D101" s="85">
        <f t="shared" si="26"/>
        <v>959.16304440752958</v>
      </c>
      <c r="E101" s="85">
        <f t="shared" si="27"/>
        <v>1207.8349448094816</v>
      </c>
      <c r="F101" s="85">
        <f t="shared" si="28"/>
        <v>355.24557200278872</v>
      </c>
      <c r="G101" s="85">
        <f t="shared" si="29"/>
        <v>364.12671130285844</v>
      </c>
      <c r="H101" s="85">
        <f t="shared" si="30"/>
        <v>177.62278600139436</v>
      </c>
      <c r="I101" s="85">
        <f t="shared" si="31"/>
        <v>506.22494010397395</v>
      </c>
      <c r="J101" s="76">
        <f t="shared" si="32"/>
        <v>17762.278600139434</v>
      </c>
      <c r="K101" s="35" t="str">
        <f t="shared" si="23"/>
        <v>E</v>
      </c>
      <c r="L101" s="69">
        <f t="shared" si="24"/>
        <v>60</v>
      </c>
      <c r="M101" s="263">
        <f t="shared" si="25"/>
        <v>72.456360893945913</v>
      </c>
    </row>
    <row r="102" spans="1:13" x14ac:dyDescent="0.25">
      <c r="A102" s="41">
        <v>2037</v>
      </c>
      <c r="B102" s="41">
        <v>24</v>
      </c>
      <c r="C102" s="85">
        <f t="shared" si="33"/>
        <v>14617.822419556749</v>
      </c>
      <c r="D102" s="85">
        <f t="shared" si="26"/>
        <v>987.93793573975529</v>
      </c>
      <c r="E102" s="85">
        <f t="shared" si="27"/>
        <v>1244.0699931537658</v>
      </c>
      <c r="F102" s="85">
        <f t="shared" si="28"/>
        <v>365.90293916287231</v>
      </c>
      <c r="G102" s="85">
        <f t="shared" si="29"/>
        <v>375.05051264194412</v>
      </c>
      <c r="H102" s="85">
        <f t="shared" si="30"/>
        <v>182.95146958143616</v>
      </c>
      <c r="I102" s="85">
        <f t="shared" si="31"/>
        <v>521.41168830709307</v>
      </c>
      <c r="J102" s="76">
        <f t="shared" si="32"/>
        <v>18295.146958143618</v>
      </c>
      <c r="K102" s="35" t="str">
        <f t="shared" si="23"/>
        <v>E</v>
      </c>
      <c r="L102" s="69">
        <f t="shared" si="24"/>
        <v>60</v>
      </c>
      <c r="M102" s="263">
        <f t="shared" si="25"/>
        <v>71.878161720764297</v>
      </c>
    </row>
    <row r="103" spans="1:13" x14ac:dyDescent="0.25">
      <c r="A103" s="41">
        <v>2038</v>
      </c>
      <c r="B103" s="41">
        <v>25</v>
      </c>
      <c r="C103" s="85">
        <f t="shared" si="33"/>
        <v>15056.357092143451</v>
      </c>
      <c r="D103" s="85">
        <f t="shared" si="26"/>
        <v>1017.5760738119479</v>
      </c>
      <c r="E103" s="85">
        <f t="shared" si="27"/>
        <v>1281.3920929483788</v>
      </c>
      <c r="F103" s="85">
        <f t="shared" si="28"/>
        <v>376.88002733775846</v>
      </c>
      <c r="G103" s="85">
        <f t="shared" si="29"/>
        <v>386.30202802120243</v>
      </c>
      <c r="H103" s="85">
        <f t="shared" si="30"/>
        <v>188.44001366887923</v>
      </c>
      <c r="I103" s="85">
        <f t="shared" si="31"/>
        <v>537.05403895630582</v>
      </c>
      <c r="J103" s="76">
        <f t="shared" si="32"/>
        <v>18844.001366887926</v>
      </c>
      <c r="K103" s="35" t="str">
        <f t="shared" si="23"/>
        <v>E</v>
      </c>
      <c r="L103" s="69">
        <f t="shared" si="24"/>
        <v>60</v>
      </c>
      <c r="M103" s="263">
        <f t="shared" si="25"/>
        <v>71.282616572387226</v>
      </c>
    </row>
    <row r="104" spans="1:13" x14ac:dyDescent="0.25">
      <c r="A104" s="41">
        <v>2039</v>
      </c>
      <c r="B104" s="41">
        <v>26</v>
      </c>
      <c r="C104" s="85">
        <f t="shared" si="33"/>
        <v>15508.047804907757</v>
      </c>
      <c r="D104" s="85">
        <f t="shared" si="26"/>
        <v>1048.1033560263065</v>
      </c>
      <c r="E104" s="85">
        <f t="shared" si="27"/>
        <v>1319.8338557368304</v>
      </c>
      <c r="F104" s="85">
        <f t="shared" si="28"/>
        <v>388.18642815789133</v>
      </c>
      <c r="G104" s="85">
        <f t="shared" si="29"/>
        <v>397.89108886183857</v>
      </c>
      <c r="H104" s="85">
        <f t="shared" si="30"/>
        <v>194.09321407894566</v>
      </c>
      <c r="I104" s="85">
        <f t="shared" si="31"/>
        <v>553.16566012499516</v>
      </c>
      <c r="J104" s="76">
        <f t="shared" si="32"/>
        <v>19409.321407894564</v>
      </c>
      <c r="K104" s="35" t="str">
        <f t="shared" si="23"/>
        <v>E</v>
      </c>
      <c r="L104" s="69">
        <f t="shared" si="24"/>
        <v>60</v>
      </c>
      <c r="M104" s="263">
        <f t="shared" si="25"/>
        <v>70.669205069558842</v>
      </c>
    </row>
    <row r="105" spans="1:13" x14ac:dyDescent="0.25">
      <c r="A105" s="41">
        <v>2040</v>
      </c>
      <c r="B105" s="41">
        <v>27</v>
      </c>
      <c r="C105" s="85">
        <f t="shared" si="33"/>
        <v>15973.289239054988</v>
      </c>
      <c r="D105" s="85">
        <f t="shared" si="26"/>
        <v>1079.5464567070956</v>
      </c>
      <c r="E105" s="85">
        <f t="shared" si="27"/>
        <v>1359.4288714089353</v>
      </c>
      <c r="F105" s="85">
        <f t="shared" si="28"/>
        <v>399.83202100262798</v>
      </c>
      <c r="G105" s="85">
        <f t="shared" si="29"/>
        <v>409.82782152769369</v>
      </c>
      <c r="H105" s="85">
        <f t="shared" si="30"/>
        <v>199.91601050131399</v>
      </c>
      <c r="I105" s="85">
        <f t="shared" si="31"/>
        <v>569.76062992874483</v>
      </c>
      <c r="J105" s="76">
        <f t="shared" si="32"/>
        <v>19991.601050131398</v>
      </c>
      <c r="K105" s="35" t="str">
        <f t="shared" si="23"/>
        <v>E</v>
      </c>
      <c r="L105" s="69">
        <f t="shared" si="24"/>
        <v>60</v>
      </c>
      <c r="M105" s="263">
        <f t="shared" si="25"/>
        <v>70.037391221645606</v>
      </c>
    </row>
    <row r="106" spans="1:13" x14ac:dyDescent="0.25">
      <c r="A106" s="41">
        <v>2041</v>
      </c>
      <c r="B106" s="41">
        <v>28</v>
      </c>
      <c r="C106" s="85">
        <f t="shared" si="33"/>
        <v>16452.487916226637</v>
      </c>
      <c r="D106" s="85">
        <f t="shared" si="26"/>
        <v>1111.9328504083085</v>
      </c>
      <c r="E106" s="85">
        <f t="shared" si="27"/>
        <v>1400.2117375512032</v>
      </c>
      <c r="F106" s="85">
        <f t="shared" si="28"/>
        <v>411.82698163270686</v>
      </c>
      <c r="G106" s="85">
        <f t="shared" si="29"/>
        <v>422.12265617352449</v>
      </c>
      <c r="H106" s="85">
        <f t="shared" si="30"/>
        <v>205.91349081635343</v>
      </c>
      <c r="I106" s="85">
        <f t="shared" si="31"/>
        <v>586.85344882660729</v>
      </c>
      <c r="J106" s="76">
        <f t="shared" si="32"/>
        <v>20591.349081635344</v>
      </c>
      <c r="K106" s="35" t="str">
        <f t="shared" si="23"/>
        <v>E</v>
      </c>
      <c r="L106" s="69">
        <f t="shared" si="24"/>
        <v>60</v>
      </c>
      <c r="M106" s="263">
        <f t="shared" si="25"/>
        <v>69.386622958294964</v>
      </c>
    </row>
    <row r="107" spans="1:13" x14ac:dyDescent="0.25">
      <c r="A107" s="41">
        <v>2042</v>
      </c>
      <c r="B107" s="41">
        <v>29</v>
      </c>
      <c r="C107" s="85">
        <f t="shared" si="33"/>
        <v>16946.062553713437</v>
      </c>
      <c r="D107" s="85">
        <f t="shared" si="26"/>
        <v>1145.2908359205576</v>
      </c>
      <c r="E107" s="85">
        <f t="shared" si="27"/>
        <v>1442.2180896777393</v>
      </c>
      <c r="F107" s="85">
        <f t="shared" si="28"/>
        <v>424.181791081688</v>
      </c>
      <c r="G107" s="85">
        <f t="shared" si="29"/>
        <v>434.78633585873018</v>
      </c>
      <c r="H107" s="85">
        <f t="shared" si="30"/>
        <v>212.090895540844</v>
      </c>
      <c r="I107" s="85">
        <f t="shared" si="31"/>
        <v>604.45905229140544</v>
      </c>
      <c r="J107" s="76">
        <f t="shared" si="32"/>
        <v>21209.089554084399</v>
      </c>
      <c r="K107" s="35" t="str">
        <f t="shared" si="23"/>
        <v>E</v>
      </c>
      <c r="L107" s="69">
        <f t="shared" si="24"/>
        <v>60</v>
      </c>
      <c r="M107" s="263">
        <f t="shared" si="25"/>
        <v>68.71633164704383</v>
      </c>
    </row>
    <row r="108" spans="1:13" x14ac:dyDescent="0.25">
      <c r="A108" s="41">
        <v>2043</v>
      </c>
      <c r="B108" s="41">
        <v>30</v>
      </c>
      <c r="C108" s="85">
        <f t="shared" si="33"/>
        <v>17454.444430324838</v>
      </c>
      <c r="D108" s="85">
        <f t="shared" si="26"/>
        <v>1179.6495609981744</v>
      </c>
      <c r="E108" s="85">
        <f t="shared" si="27"/>
        <v>1485.4846323680713</v>
      </c>
      <c r="F108" s="85">
        <f t="shared" si="28"/>
        <v>436.90724481413866</v>
      </c>
      <c r="G108" s="85">
        <f t="shared" si="29"/>
        <v>447.82992593449211</v>
      </c>
      <c r="H108" s="85">
        <f t="shared" si="30"/>
        <v>218.45362240706933</v>
      </c>
      <c r="I108" s="85">
        <f t="shared" si="31"/>
        <v>622.59282386014752</v>
      </c>
      <c r="J108" s="76">
        <f t="shared" si="32"/>
        <v>21845.362240706934</v>
      </c>
      <c r="K108" s="35" t="str">
        <f t="shared" si="23"/>
        <v>E</v>
      </c>
      <c r="L108" s="69">
        <f t="shared" si="24"/>
        <v>60</v>
      </c>
      <c r="M108" s="263">
        <f t="shared" si="25"/>
        <v>68.025931596455138</v>
      </c>
    </row>
    <row r="109" spans="1:13" x14ac:dyDescent="0.25">
      <c r="A109" s="41">
        <v>2044</v>
      </c>
      <c r="B109" s="41">
        <v>31</v>
      </c>
      <c r="C109" s="85">
        <f t="shared" si="33"/>
        <v>17978.077763234585</v>
      </c>
      <c r="D109" s="85">
        <f t="shared" si="26"/>
        <v>1215.0390478281197</v>
      </c>
      <c r="E109" s="85">
        <f t="shared" si="27"/>
        <v>1530.0491713391139</v>
      </c>
      <c r="F109" s="85">
        <f t="shared" si="28"/>
        <v>450.01446215856288</v>
      </c>
      <c r="G109" s="85">
        <f t="shared" si="29"/>
        <v>461.26482371252695</v>
      </c>
      <c r="H109" s="85">
        <f t="shared" si="30"/>
        <v>225.00723107928144</v>
      </c>
      <c r="I109" s="85">
        <f t="shared" si="31"/>
        <v>641.27060857595211</v>
      </c>
      <c r="J109" s="76">
        <f>SUM(C109:I109)</f>
        <v>22500.723107928145</v>
      </c>
      <c r="K109" s="35" t="str">
        <f>IF($G$76="I",U361,IF($G$76="II",V361,IF($G$76="III",W361)))</f>
        <v>E</v>
      </c>
      <c r="L109" s="69">
        <f>IF(K109="E",60,M109)</f>
        <v>60</v>
      </c>
      <c r="M109" s="263">
        <f>X361</f>
        <v>67.314819544348794</v>
      </c>
    </row>
    <row r="110" spans="1:13" ht="15.75" thickBot="1" x14ac:dyDescent="0.3">
      <c r="A110" s="41">
        <v>2045</v>
      </c>
      <c r="B110" s="41">
        <v>32</v>
      </c>
      <c r="C110" s="85">
        <f t="shared" si="33"/>
        <v>18517.42009613162</v>
      </c>
      <c r="D110" s="85">
        <f t="shared" si="26"/>
        <v>1251.4902192629631</v>
      </c>
      <c r="E110" s="85">
        <f t="shared" si="27"/>
        <v>1575.9506464792869</v>
      </c>
      <c r="F110" s="85">
        <f t="shared" si="28"/>
        <v>463.51489602331969</v>
      </c>
      <c r="G110" s="85">
        <f t="shared" si="29"/>
        <v>475.10276842390266</v>
      </c>
      <c r="H110" s="85">
        <f t="shared" si="30"/>
        <v>231.75744801165985</v>
      </c>
      <c r="I110" s="85">
        <f t="shared" si="31"/>
        <v>660.50872683323053</v>
      </c>
      <c r="J110" s="76">
        <f>SUM(C110:I110)</f>
        <v>23175.744801165984</v>
      </c>
      <c r="K110" s="35" t="str">
        <f>IF($G$76="I",U362,IF($G$76="II",V362,IF($G$76="III",W362)))</f>
        <v>E</v>
      </c>
      <c r="L110" s="69">
        <f>IF(K110="E",60,M110)</f>
        <v>60</v>
      </c>
      <c r="M110" s="263">
        <f>X362</f>
        <v>66.582374130679256</v>
      </c>
    </row>
    <row r="111" spans="1:13" ht="15.75" thickBot="1" x14ac:dyDescent="0.3">
      <c r="B111" s="71" t="s">
        <v>54</v>
      </c>
      <c r="C111" s="72">
        <f t="shared" ref="C111:I111" si="34">C36</f>
        <v>0.03</v>
      </c>
      <c r="D111" s="72">
        <f t="shared" si="34"/>
        <v>0.03</v>
      </c>
      <c r="E111" s="72">
        <f t="shared" si="34"/>
        <v>0.03</v>
      </c>
      <c r="F111" s="72">
        <f t="shared" si="34"/>
        <v>0.03</v>
      </c>
      <c r="G111" s="72">
        <f t="shared" si="34"/>
        <v>0.03</v>
      </c>
      <c r="H111" s="72">
        <f t="shared" si="34"/>
        <v>0.03</v>
      </c>
      <c r="I111" s="72">
        <f t="shared" si="34"/>
        <v>0.03</v>
      </c>
      <c r="L111" s="36"/>
    </row>
    <row r="113" spans="1:10" x14ac:dyDescent="0.25">
      <c r="A113" s="47"/>
      <c r="B113" s="47"/>
      <c r="C113" s="47"/>
      <c r="D113" s="47"/>
      <c r="E113" s="47"/>
      <c r="F113" s="47"/>
      <c r="G113" s="47"/>
      <c r="H113" s="47"/>
      <c r="I113" s="47"/>
      <c r="J113" s="47"/>
    </row>
    <row r="114" spans="1:10" x14ac:dyDescent="0.25">
      <c r="A114" s="47"/>
      <c r="B114" s="47"/>
      <c r="C114" s="47"/>
      <c r="D114" s="47"/>
      <c r="E114" s="47"/>
      <c r="F114" s="47"/>
      <c r="G114" s="47"/>
      <c r="H114" s="47"/>
      <c r="I114" s="47"/>
      <c r="J114" s="47"/>
    </row>
    <row r="115" spans="1:10" x14ac:dyDescent="0.25">
      <c r="A115" t="s">
        <v>61</v>
      </c>
      <c r="I115" s="111"/>
      <c r="J115" s="47"/>
    </row>
    <row r="116" spans="1:10" x14ac:dyDescent="0.25">
      <c r="A116" t="s">
        <v>62</v>
      </c>
      <c r="G116" s="104" t="s">
        <v>88</v>
      </c>
      <c r="H116" s="95"/>
    </row>
    <row r="117" spans="1:10" x14ac:dyDescent="0.25">
      <c r="A117" s="1" t="s">
        <v>63</v>
      </c>
      <c r="B117" s="176"/>
      <c r="C117" s="176"/>
      <c r="D117" s="176"/>
      <c r="E117" s="176"/>
      <c r="G117" s="104" t="s">
        <v>64</v>
      </c>
      <c r="H117" s="107">
        <f>'DATOS DE ENTRADA'!C43</f>
        <v>100</v>
      </c>
    </row>
    <row r="118" spans="1:10" ht="15.75" thickBot="1" x14ac:dyDescent="0.3">
      <c r="B118" t="s">
        <v>65</v>
      </c>
      <c r="G118" s="104" t="s">
        <v>66</v>
      </c>
      <c r="H118" s="107">
        <f>'DATOS DE ENTRADA'!C45</f>
        <v>3.3</v>
      </c>
    </row>
    <row r="119" spans="1:10" ht="30.75" thickBot="1" x14ac:dyDescent="0.3">
      <c r="A119" s="18" t="s">
        <v>67</v>
      </c>
      <c r="B119" s="86" t="s">
        <v>68</v>
      </c>
      <c r="C119" s="87" t="s">
        <v>69</v>
      </c>
      <c r="D119" s="87" t="s">
        <v>70</v>
      </c>
      <c r="E119" s="88" t="s">
        <v>71</v>
      </c>
      <c r="G119" s="104" t="s">
        <v>72</v>
      </c>
      <c r="H119" s="107">
        <f>'DATOS DE ENTRADA'!C46</f>
        <v>1</v>
      </c>
    </row>
    <row r="120" spans="1:10" x14ac:dyDescent="0.25">
      <c r="A120" s="89" t="s">
        <v>73</v>
      </c>
      <c r="B120" s="90">
        <v>10.3</v>
      </c>
      <c r="C120" s="91">
        <v>7.7</v>
      </c>
      <c r="D120" s="91">
        <v>5.6</v>
      </c>
      <c r="E120" s="92">
        <v>3.5</v>
      </c>
      <c r="G120" s="104" t="s">
        <v>74</v>
      </c>
      <c r="H120" s="125">
        <f>IF($H$119&lt;0.6,$B$125,IF(AND($H$119&gt;=0.6,$H$119&lt;1.2),$C$125,IF(AND($H$119&gt;=1.2,$H$119&lt;1.8),$D$125,IF(AND($H$119&gt;=1.8,$H$119&lt;100),$E$125))))</f>
        <v>4.9000000000000004</v>
      </c>
    </row>
    <row r="121" spans="1:10" x14ac:dyDescent="0.25">
      <c r="A121" s="93" t="s">
        <v>75</v>
      </c>
      <c r="B121" s="94">
        <v>8.5</v>
      </c>
      <c r="C121" s="95">
        <v>5.9</v>
      </c>
      <c r="D121" s="95">
        <v>3.8</v>
      </c>
      <c r="E121" s="96">
        <v>1.7</v>
      </c>
      <c r="G121" s="104" t="s">
        <v>76</v>
      </c>
      <c r="H121" s="126">
        <f>H117-H120-H123</f>
        <v>91.766666666666666</v>
      </c>
    </row>
    <row r="122" spans="1:10" x14ac:dyDescent="0.25">
      <c r="A122" s="93" t="s">
        <v>77</v>
      </c>
      <c r="B122" s="94">
        <v>7.5</v>
      </c>
      <c r="C122" s="95">
        <v>4.9000000000000004</v>
      </c>
      <c r="D122" s="95">
        <v>2.8</v>
      </c>
      <c r="E122" s="96">
        <v>0.7</v>
      </c>
      <c r="G122" s="104" t="s">
        <v>78</v>
      </c>
      <c r="H122" s="107">
        <f>'DATOS DE ENTRADA'!C48</f>
        <v>5</v>
      </c>
    </row>
    <row r="123" spans="1:10" ht="15.75" thickBot="1" x14ac:dyDescent="0.3">
      <c r="A123" s="97" t="s">
        <v>79</v>
      </c>
      <c r="B123" s="98">
        <v>6.8</v>
      </c>
      <c r="C123" s="99">
        <v>4.2</v>
      </c>
      <c r="D123" s="99">
        <v>2.1</v>
      </c>
      <c r="E123" s="100">
        <v>0</v>
      </c>
      <c r="G123" s="104" t="s">
        <v>80</v>
      </c>
      <c r="H123" s="33">
        <f>H122*(2/3)</f>
        <v>3.333333333333333</v>
      </c>
    </row>
    <row r="124" spans="1:10" ht="15.75" thickBot="1" x14ac:dyDescent="0.3"/>
    <row r="125" spans="1:10" ht="30.75" thickBot="1" x14ac:dyDescent="0.3">
      <c r="A125" s="118" t="s">
        <v>81</v>
      </c>
      <c r="B125" s="101">
        <f>IF($H$118&lt;3,$B$120,IF(AND($H$118&gt;=3,$H$118&lt;3.3),$B$121,IF(AND($H$118&gt;=3.3,$H$118&lt;3.6),$B$122,IF(3.6&lt;=$H$118,$B$123))))</f>
        <v>7.5</v>
      </c>
      <c r="C125" s="101">
        <f>IF($H$118&lt;3,$C$120,IF(AND($H$118&gt;=3,$H$118&lt;3.3),$C$121,IF(AND($H$118&gt;=3.3,$H$118&lt;3.6),$C$122,IF(3.6&lt;=$H$118,$C$123))))</f>
        <v>4.9000000000000004</v>
      </c>
      <c r="D125" s="101">
        <f>IF($H$118&lt;3,$D$120,IF(AND($H$118&gt;=3,$H$118&lt;3.3),$D$121,IF(AND($H$118&gt;=3.3,$H$118&lt;3.6),$D$122,IF(3.6&lt;=$H$118,$D$123))))</f>
        <v>2.8</v>
      </c>
      <c r="E125" s="102">
        <f>IF($H$118&lt;3,$E$120,IF(AND($H$118&gt;=3,$H$118&lt;3.3),$E$121,IF(AND($H$118&gt;=3.3,$H$118&lt;3.6),$E$122,IF(3.6&lt;=$H$118,$E$123))))</f>
        <v>0.7</v>
      </c>
      <c r="I125" s="47"/>
      <c r="J125" s="47"/>
    </row>
    <row r="126" spans="1:10" ht="30.75" thickBot="1" x14ac:dyDescent="0.3">
      <c r="A126" s="118" t="s">
        <v>81</v>
      </c>
      <c r="B126" s="101">
        <f>IF($H$128&lt;3,$B$120,IF(AND($H$128&gt;=3,$H$128&lt;3.3),$B$121,IF(AND($H$128&gt;=3.3,$H$128&lt;3.6),$B$122,IF(3.6&lt;=$H$128,$B$123))))</f>
        <v>6.8</v>
      </c>
      <c r="C126" s="101">
        <f>IF($H$128&lt;3,$C$120,IF(AND($H$128&gt;=3,$H$128&lt;3.3),$C$121,IF(AND($H$128&gt;=3.3,$H$128&lt;3.6),$C$122,IF(3.6&lt;=$H$128,$C$123))))</f>
        <v>4.2</v>
      </c>
      <c r="D126" s="101">
        <f>IF($H$128&lt;3,$D$120,IF(AND($H$128&gt;=3,$H$128&lt;3.3),$D$121,IF(AND($H$128&gt;=3.3,$H$128&lt;3.6),$D$122,IF(3.6&lt;=$H$128,$D$123))))</f>
        <v>2.1</v>
      </c>
      <c r="E126" s="102">
        <f>IF($H$128&lt;3,$E$120,IF(AND($H$128&gt;=3,$H$128&lt;3.3),$E$121,IF(AND($H$128&gt;=3.3,$H$128&lt;3.6),$E$122,IF(3.6&lt;=$H$128,$E$123))))</f>
        <v>0</v>
      </c>
      <c r="G126" s="104" t="s">
        <v>82</v>
      </c>
      <c r="H126" s="95"/>
      <c r="I126" s="47"/>
      <c r="J126" s="47"/>
    </row>
    <row r="127" spans="1:10" ht="30.75" thickBot="1" x14ac:dyDescent="0.3">
      <c r="A127" s="119" t="s">
        <v>83</v>
      </c>
      <c r="B127" s="101">
        <f>IF($H$138&lt;3,$B$120,IF(AND($H$138&gt;=3,$H$138&lt;3.3),$B$121,IF(AND($H$138&gt;=3.3,$H$138&lt;3.6),$B$122,IF(3.6&lt;=$H$138,$B$123))))</f>
        <v>7.5</v>
      </c>
      <c r="C127" s="101">
        <f>IF($H$138&lt;3,$C$120,IF(AND($H$138&gt;=3,$H$138&lt;3.3),$C$121,IF(AND($H$138&gt;=3.3,$H$138&lt;3.6),$C$122,IF(3.6&lt;=$H$138,$C$123))))</f>
        <v>4.9000000000000004</v>
      </c>
      <c r="D127" s="101">
        <f>IF($H$128&lt;3,$D$120,IF(AND($H$128&gt;=3,$H$128&lt;3.3),$D$121,IF(AND($H$128&gt;=3.3,$H$128&lt;3.6),$D$122,IF(3.6&lt;=$H$128,$D$123))))</f>
        <v>2.1</v>
      </c>
      <c r="E127" s="102">
        <f>IF($H$128&lt;3,$E$120,IF(AND($H$128&gt;=3,$H$128&lt;3.3),$E$121,IF(AND($H$128&gt;=3.3,$H$128&lt;3.6),$E$122,IF(3.6&lt;=$H$128,$E$123))))</f>
        <v>0</v>
      </c>
      <c r="G127" s="104" t="s">
        <v>64</v>
      </c>
      <c r="H127" s="122">
        <f>'DATOS DE ENTRADA'!C78</f>
        <v>100</v>
      </c>
      <c r="I127" s="47"/>
      <c r="J127" s="47"/>
    </row>
    <row r="128" spans="1:10" x14ac:dyDescent="0.25">
      <c r="G128" s="104" t="s">
        <v>66</v>
      </c>
      <c r="H128" s="122">
        <f>'DATOS DE ENTRADA'!C80</f>
        <v>3.6</v>
      </c>
      <c r="I128" s="47"/>
      <c r="J128" s="47"/>
    </row>
    <row r="129" spans="1:12" ht="15.75" thickBot="1" x14ac:dyDescent="0.3">
      <c r="A129" s="103" t="s">
        <v>84</v>
      </c>
      <c r="B129" s="80"/>
      <c r="G129" s="104" t="s">
        <v>72</v>
      </c>
      <c r="H129" s="122">
        <f>'DATOS DE ENTRADA'!C81</f>
        <v>1.6</v>
      </c>
      <c r="I129" s="47"/>
      <c r="J129" s="47"/>
    </row>
    <row r="130" spans="1:12" ht="46.5" customHeight="1" thickBot="1" x14ac:dyDescent="0.3">
      <c r="A130" s="117" t="s">
        <v>87</v>
      </c>
      <c r="B130" s="117" t="s">
        <v>85</v>
      </c>
      <c r="G130" s="104" t="s">
        <v>74</v>
      </c>
      <c r="H130" s="127">
        <f>IF($H$129&lt;0.6,$B$126,IF(AND($H$129&gt;=0.6,$H$129&lt;1.2),$C$126,IF(AND($H$129&gt;=1.2,$H$129&lt;1.8),$D$126,IF(AND($H$129&gt;=1.8,$H$129&lt;100),$E$126))))</f>
        <v>2.1</v>
      </c>
      <c r="I130" s="47"/>
      <c r="J130" s="47"/>
    </row>
    <row r="131" spans="1:12" x14ac:dyDescent="0.25">
      <c r="A131" s="94">
        <v>0</v>
      </c>
      <c r="B131" s="96">
        <v>0</v>
      </c>
      <c r="G131" s="104" t="s">
        <v>76</v>
      </c>
      <c r="H131" s="128">
        <f>H127-H130-H133</f>
        <v>94.566666666666677</v>
      </c>
    </row>
    <row r="132" spans="1:12" x14ac:dyDescent="0.25">
      <c r="A132" s="94">
        <v>6</v>
      </c>
      <c r="B132" s="96">
        <v>4</v>
      </c>
      <c r="G132" s="104" t="s">
        <v>78</v>
      </c>
      <c r="H132" s="107">
        <f>'DATOS DE ENTRADA'!C83</f>
        <v>5</v>
      </c>
      <c r="I132" s="110"/>
      <c r="L132" s="120"/>
    </row>
    <row r="133" spans="1:12" x14ac:dyDescent="0.25">
      <c r="A133" s="94">
        <v>12</v>
      </c>
      <c r="B133" s="96">
        <v>8</v>
      </c>
      <c r="G133" s="104" t="s">
        <v>80</v>
      </c>
      <c r="H133" s="33">
        <f>H132*(2/3)</f>
        <v>3.333333333333333</v>
      </c>
      <c r="I133" s="110"/>
      <c r="L133" s="120"/>
    </row>
    <row r="134" spans="1:12" x14ac:dyDescent="0.25">
      <c r="A134" s="94">
        <v>18</v>
      </c>
      <c r="B134" s="96">
        <v>12</v>
      </c>
      <c r="I134" s="112"/>
      <c r="L134" s="120"/>
    </row>
    <row r="135" spans="1:12" ht="15.75" thickBot="1" x14ac:dyDescent="0.3">
      <c r="A135" s="98">
        <v>24</v>
      </c>
      <c r="B135" s="100">
        <v>16</v>
      </c>
      <c r="I135" s="113"/>
      <c r="L135" s="120"/>
    </row>
    <row r="136" spans="1:12" x14ac:dyDescent="0.25">
      <c r="A136" t="s">
        <v>86</v>
      </c>
      <c r="G136" s="104" t="s">
        <v>89</v>
      </c>
      <c r="H136" s="106"/>
      <c r="I136" s="114"/>
      <c r="L136" s="120"/>
    </row>
    <row r="137" spans="1:12" x14ac:dyDescent="0.25">
      <c r="G137" s="104" t="s">
        <v>64</v>
      </c>
      <c r="H137" s="124">
        <f>'DATOS DE ENTRADA'!C113</f>
        <v>100</v>
      </c>
      <c r="I137" s="121"/>
      <c r="L137" s="120"/>
    </row>
    <row r="138" spans="1:12" x14ac:dyDescent="0.25">
      <c r="G138" s="104" t="s">
        <v>66</v>
      </c>
      <c r="H138" s="122">
        <f>'DATOS DE ENTRADA'!C115</f>
        <v>3.3</v>
      </c>
      <c r="I138" s="121"/>
      <c r="L138" s="120"/>
    </row>
    <row r="139" spans="1:12" x14ac:dyDescent="0.25">
      <c r="G139" s="104" t="s">
        <v>72</v>
      </c>
      <c r="H139" s="122">
        <f>'DATOS DE ENTRADA'!C116</f>
        <v>1</v>
      </c>
      <c r="I139" s="121"/>
      <c r="L139" s="120"/>
    </row>
    <row r="140" spans="1:12" x14ac:dyDescent="0.25">
      <c r="A140" s="115"/>
      <c r="B140" s="48"/>
      <c r="G140" s="104" t="s">
        <v>74</v>
      </c>
      <c r="H140" s="127">
        <f>IF($H$139&lt;0.6,$B$127,IF(AND($H$139&gt;=0.6,$H$139&lt;1.2),$C$127,IF(AND($H$139&gt;=1.2,$H$129&lt;1.8),$D$127,IF(AND($H$129&gt;=1.8,$H$129&lt;100),$E$127))))</f>
        <v>4.9000000000000004</v>
      </c>
      <c r="I140" s="47"/>
      <c r="J140" s="47"/>
    </row>
    <row r="141" spans="1:12" x14ac:dyDescent="0.25">
      <c r="A141" s="115"/>
      <c r="B141" s="116"/>
      <c r="G141" s="104" t="s">
        <v>76</v>
      </c>
      <c r="H141" s="128">
        <f>H137-H140-H143</f>
        <v>91.766666666666666</v>
      </c>
    </row>
    <row r="142" spans="1:12" x14ac:dyDescent="0.25">
      <c r="A142" s="115"/>
      <c r="B142" s="116"/>
      <c r="G142" s="104" t="s">
        <v>78</v>
      </c>
      <c r="H142" s="107">
        <f>'DATOS DE ENTRADA'!C118</f>
        <v>5</v>
      </c>
    </row>
    <row r="143" spans="1:12" x14ac:dyDescent="0.25">
      <c r="A143" s="60"/>
      <c r="B143" s="60"/>
      <c r="G143" s="104" t="s">
        <v>80</v>
      </c>
      <c r="H143" s="33">
        <f>H142*(2/3)</f>
        <v>3.333333333333333</v>
      </c>
    </row>
    <row r="144" spans="1:12" x14ac:dyDescent="0.25">
      <c r="A144" s="47"/>
      <c r="B144" s="47"/>
      <c r="C144" s="47"/>
      <c r="D144" s="47"/>
      <c r="E144" s="47"/>
      <c r="F144" s="47"/>
      <c r="G144" s="47"/>
      <c r="H144" s="47"/>
      <c r="I144" s="47"/>
      <c r="J144" s="47"/>
    </row>
    <row r="147" spans="1:12" x14ac:dyDescent="0.25">
      <c r="H147" s="105" t="s">
        <v>126</v>
      </c>
      <c r="I147" s="105" t="s">
        <v>90</v>
      </c>
      <c r="J147" s="105" t="s">
        <v>127</v>
      </c>
    </row>
    <row r="148" spans="1:12" x14ac:dyDescent="0.25">
      <c r="G148" s="168" t="s">
        <v>91</v>
      </c>
      <c r="H148" s="166">
        <f>'DATOS DE ENTRADA'!C41</f>
        <v>3.3499999999999995E-2</v>
      </c>
      <c r="I148" s="166">
        <f>'DATOS DE ENTRADA'!C76</f>
        <v>3.3499999999999995E-2</v>
      </c>
      <c r="J148" s="166">
        <f>'DATOS DE ENTRADA'!C111</f>
        <v>3.3499999999999995E-2</v>
      </c>
    </row>
    <row r="149" spans="1:12" x14ac:dyDescent="0.25">
      <c r="G149" s="168" t="s">
        <v>92</v>
      </c>
      <c r="H149" s="166">
        <f>'DATOS DE ENTRADA'!C42</f>
        <v>0.05</v>
      </c>
      <c r="I149" s="166">
        <f>'DATOS DE ENTRADA'!C77</f>
        <v>0.05</v>
      </c>
      <c r="J149" s="166">
        <f>'DATOS DE ENTRADA'!C112</f>
        <v>0.05</v>
      </c>
    </row>
    <row r="150" spans="1:12" ht="15" customHeight="1" thickBot="1" x14ac:dyDescent="0.3">
      <c r="A150" s="176" t="s">
        <v>93</v>
      </c>
      <c r="B150" s="176"/>
      <c r="C150" s="176"/>
      <c r="D150" s="176"/>
      <c r="E150" s="176"/>
      <c r="F150" s="176"/>
      <c r="I150" s="167"/>
      <c r="J150" s="83"/>
    </row>
    <row r="151" spans="1:12" ht="15" customHeight="1" thickBot="1" x14ac:dyDescent="0.3">
      <c r="A151" s="130" t="s">
        <v>94</v>
      </c>
      <c r="B151" s="563" t="s">
        <v>540</v>
      </c>
      <c r="C151" s="131" t="s">
        <v>96</v>
      </c>
      <c r="D151" s="132" t="s">
        <v>97</v>
      </c>
      <c r="I151" s="105" t="s">
        <v>126</v>
      </c>
      <c r="J151" s="105" t="s">
        <v>90</v>
      </c>
      <c r="K151" s="105" t="s">
        <v>127</v>
      </c>
    </row>
    <row r="152" spans="1:12" ht="15" customHeight="1" thickBot="1" x14ac:dyDescent="0.3">
      <c r="A152" s="582" t="s">
        <v>98</v>
      </c>
      <c r="B152" s="133">
        <v>100</v>
      </c>
      <c r="C152" s="134">
        <v>1.9</v>
      </c>
      <c r="D152" s="135">
        <v>2.7</v>
      </c>
      <c r="G152" s="169" t="s">
        <v>99</v>
      </c>
      <c r="H152" s="105" t="s">
        <v>107</v>
      </c>
      <c r="I152" s="169" t="str">
        <f>'DATOS DE ENTRADA'!C8</f>
        <v>P</v>
      </c>
      <c r="J152" s="170" t="str">
        <f>'DATOS DE ENTRADA'!C24</f>
        <v>P</v>
      </c>
      <c r="K152" s="170" t="str">
        <f>I152</f>
        <v>P</v>
      </c>
    </row>
    <row r="153" spans="1:12" ht="15" customHeight="1" thickBot="1" x14ac:dyDescent="0.3">
      <c r="A153" s="583"/>
      <c r="B153" s="30">
        <v>200</v>
      </c>
      <c r="C153" s="136">
        <v>1.5</v>
      </c>
      <c r="D153" s="137">
        <v>2.2999999999999998</v>
      </c>
      <c r="G153" s="582" t="s">
        <v>98</v>
      </c>
      <c r="H153" s="139" t="s">
        <v>100</v>
      </c>
      <c r="I153" s="140">
        <f>IF($I$152="P",C152,IF($I$152="L",D152,IF($I$152="M",D152)))</f>
        <v>1.9</v>
      </c>
      <c r="J153" s="140">
        <f t="shared" ref="J153:J162" si="35">IF($J$152="P",C152,IF($J$152="L",D152,IF($J$152="M",D152)))</f>
        <v>1.9</v>
      </c>
      <c r="K153" s="140">
        <f t="shared" ref="K153:K162" si="36">IF($K$152="P",C152,IF($K$152="L",D152,IF($K$152="M",D152)))</f>
        <v>1.9</v>
      </c>
      <c r="L153" s="171"/>
    </row>
    <row r="154" spans="1:12" ht="15" customHeight="1" thickBot="1" x14ac:dyDescent="0.3">
      <c r="A154" s="583"/>
      <c r="B154" s="30">
        <v>300</v>
      </c>
      <c r="C154" s="136">
        <v>1.4</v>
      </c>
      <c r="D154" s="137">
        <v>2.1</v>
      </c>
      <c r="G154" s="583"/>
      <c r="H154" s="139">
        <v>200</v>
      </c>
      <c r="I154" s="140">
        <f t="shared" ref="I154:I161" si="37">IF($I$152="P",C153,IF($I$152="L",D153,IF($I$152="M",D153)))</f>
        <v>1.5</v>
      </c>
      <c r="J154" s="140">
        <f t="shared" si="35"/>
        <v>1.5</v>
      </c>
      <c r="K154" s="140">
        <f t="shared" si="36"/>
        <v>1.5</v>
      </c>
      <c r="L154" s="171"/>
    </row>
    <row r="155" spans="1:12" ht="15" customHeight="1" thickBot="1" x14ac:dyDescent="0.3">
      <c r="A155" s="583"/>
      <c r="B155" s="30">
        <v>400</v>
      </c>
      <c r="C155" s="136">
        <v>1.3</v>
      </c>
      <c r="D155" s="137">
        <v>2</v>
      </c>
      <c r="G155" s="583"/>
      <c r="H155" s="139">
        <v>300</v>
      </c>
      <c r="I155" s="140">
        <f t="shared" si="37"/>
        <v>1.4</v>
      </c>
      <c r="J155" s="140">
        <f t="shared" si="35"/>
        <v>1.4</v>
      </c>
      <c r="K155" s="140">
        <f t="shared" si="36"/>
        <v>1.4</v>
      </c>
      <c r="L155" s="60"/>
    </row>
    <row r="156" spans="1:12" ht="15" customHeight="1" thickBot="1" x14ac:dyDescent="0.3">
      <c r="A156" s="583"/>
      <c r="B156" s="30">
        <v>500</v>
      </c>
      <c r="C156" s="136">
        <v>1.2</v>
      </c>
      <c r="D156" s="137">
        <v>1.8</v>
      </c>
      <c r="G156" s="583"/>
      <c r="H156" s="139">
        <v>400</v>
      </c>
      <c r="I156" s="140">
        <f t="shared" si="37"/>
        <v>1.3</v>
      </c>
      <c r="J156" s="140">
        <f t="shared" si="35"/>
        <v>1.3</v>
      </c>
      <c r="K156" s="140">
        <f t="shared" si="36"/>
        <v>1.3</v>
      </c>
    </row>
    <row r="157" spans="1:12" ht="15" customHeight="1" thickBot="1" x14ac:dyDescent="0.3">
      <c r="A157" s="583"/>
      <c r="B157" s="30">
        <v>600</v>
      </c>
      <c r="C157" s="136">
        <v>1.1000000000000001</v>
      </c>
      <c r="D157" s="137">
        <v>1.7</v>
      </c>
      <c r="G157" s="583"/>
      <c r="H157" s="139">
        <v>500</v>
      </c>
      <c r="I157" s="140">
        <f t="shared" si="37"/>
        <v>1.2</v>
      </c>
      <c r="J157" s="140">
        <f t="shared" si="35"/>
        <v>1.2</v>
      </c>
      <c r="K157" s="140">
        <f t="shared" si="36"/>
        <v>1.2</v>
      </c>
    </row>
    <row r="158" spans="1:12" ht="15" customHeight="1" thickBot="1" x14ac:dyDescent="0.3">
      <c r="A158" s="583"/>
      <c r="B158" s="30">
        <v>700</v>
      </c>
      <c r="C158" s="136">
        <v>1.1000000000000001</v>
      </c>
      <c r="D158" s="137">
        <v>1.6</v>
      </c>
      <c r="G158" s="583"/>
      <c r="H158" s="139">
        <v>600</v>
      </c>
      <c r="I158" s="140">
        <f t="shared" si="37"/>
        <v>1.1000000000000001</v>
      </c>
      <c r="J158" s="140">
        <f t="shared" si="35"/>
        <v>1.1000000000000001</v>
      </c>
      <c r="K158" s="140">
        <f t="shared" si="36"/>
        <v>1.1000000000000001</v>
      </c>
    </row>
    <row r="159" spans="1:12" ht="15" customHeight="1" thickBot="1" x14ac:dyDescent="0.3">
      <c r="A159" s="583"/>
      <c r="B159" s="30">
        <v>800</v>
      </c>
      <c r="C159" s="136">
        <v>1.1000000000000001</v>
      </c>
      <c r="D159" s="137">
        <v>1.4</v>
      </c>
      <c r="G159" s="583"/>
      <c r="H159" s="139">
        <v>700</v>
      </c>
      <c r="I159" s="140">
        <f t="shared" si="37"/>
        <v>1.1000000000000001</v>
      </c>
      <c r="J159" s="140">
        <f t="shared" si="35"/>
        <v>1.1000000000000001</v>
      </c>
      <c r="K159" s="140">
        <f t="shared" si="36"/>
        <v>1.1000000000000001</v>
      </c>
    </row>
    <row r="160" spans="1:12" ht="15.75" customHeight="1" thickBot="1" x14ac:dyDescent="0.3">
      <c r="A160" s="584"/>
      <c r="B160" s="141">
        <v>900</v>
      </c>
      <c r="C160" s="142">
        <v>1</v>
      </c>
      <c r="D160" s="143">
        <v>1.3</v>
      </c>
      <c r="G160" s="583"/>
      <c r="H160" s="139">
        <v>800</v>
      </c>
      <c r="I160" s="140">
        <f t="shared" si="37"/>
        <v>1.1000000000000001</v>
      </c>
      <c r="J160" s="140">
        <f t="shared" si="35"/>
        <v>1.1000000000000001</v>
      </c>
      <c r="K160" s="140">
        <f t="shared" si="36"/>
        <v>1.1000000000000001</v>
      </c>
    </row>
    <row r="161" spans="1:11" ht="15.75" thickBot="1" x14ac:dyDescent="0.3">
      <c r="A161" s="144" t="s">
        <v>101</v>
      </c>
      <c r="B161" s="145" t="s">
        <v>102</v>
      </c>
      <c r="C161" s="146">
        <v>1</v>
      </c>
      <c r="D161" s="147">
        <v>1.1000000000000001</v>
      </c>
      <c r="G161" s="584"/>
      <c r="H161" s="139" t="s">
        <v>103</v>
      </c>
      <c r="I161" s="140">
        <f t="shared" si="37"/>
        <v>1</v>
      </c>
      <c r="J161" s="140">
        <f t="shared" si="35"/>
        <v>1</v>
      </c>
      <c r="K161" s="140">
        <f t="shared" si="36"/>
        <v>1</v>
      </c>
    </row>
    <row r="162" spans="1:11" ht="15.75" thickBot="1" x14ac:dyDescent="0.3">
      <c r="G162" s="144" t="s">
        <v>101</v>
      </c>
      <c r="H162" s="139" t="s">
        <v>102</v>
      </c>
      <c r="I162" s="140">
        <f>IF($I$152="P",C161,IF($I$152="L",D161,IF($I$152="M",D161)))</f>
        <v>1</v>
      </c>
      <c r="J162" s="140">
        <f t="shared" si="35"/>
        <v>1</v>
      </c>
      <c r="K162" s="140">
        <f t="shared" si="36"/>
        <v>1</v>
      </c>
    </row>
    <row r="163" spans="1:11" x14ac:dyDescent="0.25">
      <c r="D163" s="109"/>
    </row>
    <row r="164" spans="1:11" x14ac:dyDescent="0.25">
      <c r="D164" s="109"/>
    </row>
    <row r="165" spans="1:11" x14ac:dyDescent="0.25">
      <c r="D165" s="109"/>
    </row>
    <row r="166" spans="1:11" ht="15.75" thickBot="1" x14ac:dyDescent="0.3">
      <c r="A166" t="s">
        <v>104</v>
      </c>
      <c r="G166" s="172" t="s">
        <v>105</v>
      </c>
      <c r="H166" s="105" t="s">
        <v>126</v>
      </c>
      <c r="I166" s="105" t="s">
        <v>90</v>
      </c>
      <c r="J166" s="105" t="s">
        <v>127</v>
      </c>
    </row>
    <row r="167" spans="1:11" ht="15.75" thickBot="1" x14ac:dyDescent="0.3">
      <c r="A167" s="173"/>
      <c r="B167" s="131" t="s">
        <v>95</v>
      </c>
      <c r="C167" s="131" t="s">
        <v>96</v>
      </c>
      <c r="D167" s="132" t="s">
        <v>97</v>
      </c>
      <c r="G167" s="172" t="s">
        <v>99</v>
      </c>
      <c r="H167" s="169" t="str">
        <f>I152</f>
        <v>P</v>
      </c>
      <c r="I167" s="169" t="str">
        <f>J152</f>
        <v>P</v>
      </c>
      <c r="J167" s="169" t="str">
        <f>K152</f>
        <v>P</v>
      </c>
    </row>
    <row r="168" spans="1:11" ht="15" customHeight="1" x14ac:dyDescent="0.25">
      <c r="A168" s="579" t="s">
        <v>106</v>
      </c>
      <c r="B168" s="133">
        <v>100</v>
      </c>
      <c r="C168" s="134">
        <v>1</v>
      </c>
      <c r="D168" s="148">
        <v>0.67</v>
      </c>
      <c r="G168" s="30" t="s">
        <v>100</v>
      </c>
      <c r="H168" s="136">
        <f t="shared" ref="H168:H176" si="38">IF($H$167="P",C168,IF($H$167="L",D168,IF($H$167="M",D168)))</f>
        <v>1</v>
      </c>
      <c r="I168" s="136">
        <f t="shared" ref="I168:I176" si="39">IF($I$167="P",C168,IF($I$167="L",D168,IF($I$167="M",D168)))</f>
        <v>1</v>
      </c>
      <c r="J168" s="136">
        <f t="shared" ref="J168:J176" si="40">IF($J$167="P",C168,IF($J$167="L",D168,IF($J$167="M",D168)))</f>
        <v>1</v>
      </c>
    </row>
    <row r="169" spans="1:11" ht="15" customHeight="1" x14ac:dyDescent="0.25">
      <c r="A169" s="580"/>
      <c r="B169" s="30">
        <v>200</v>
      </c>
      <c r="C169" s="136">
        <v>1</v>
      </c>
      <c r="D169" s="149">
        <v>0.75</v>
      </c>
      <c r="G169" s="30">
        <v>200</v>
      </c>
      <c r="H169" s="136">
        <f t="shared" si="38"/>
        <v>1</v>
      </c>
      <c r="I169" s="136">
        <f t="shared" si="39"/>
        <v>1</v>
      </c>
      <c r="J169" s="136">
        <f t="shared" si="40"/>
        <v>1</v>
      </c>
    </row>
    <row r="170" spans="1:11" ht="15" customHeight="1" x14ac:dyDescent="0.25">
      <c r="A170" s="580"/>
      <c r="B170" s="30">
        <v>300</v>
      </c>
      <c r="C170" s="136">
        <v>1</v>
      </c>
      <c r="D170" s="149">
        <v>0.83</v>
      </c>
      <c r="F170" s="138">
        <v>100</v>
      </c>
      <c r="G170" s="30">
        <v>300</v>
      </c>
      <c r="H170" s="136">
        <f t="shared" si="38"/>
        <v>1</v>
      </c>
      <c r="I170" s="136">
        <f>IF($I$167="P",C170,IF($I$167="L",D170,IF($I$167="M",D170)))</f>
        <v>1</v>
      </c>
      <c r="J170" s="136">
        <f t="shared" si="40"/>
        <v>1</v>
      </c>
    </row>
    <row r="171" spans="1:11" ht="15" customHeight="1" x14ac:dyDescent="0.25">
      <c r="A171" s="580"/>
      <c r="B171" s="30">
        <v>400</v>
      </c>
      <c r="C171" s="136">
        <v>1</v>
      </c>
      <c r="D171" s="149">
        <v>0.9</v>
      </c>
      <c r="F171" s="138"/>
      <c r="G171" s="30">
        <v>400</v>
      </c>
      <c r="H171" s="136">
        <f t="shared" si="38"/>
        <v>1</v>
      </c>
      <c r="I171" s="136">
        <f t="shared" si="39"/>
        <v>1</v>
      </c>
      <c r="J171" s="136">
        <f t="shared" si="40"/>
        <v>1</v>
      </c>
    </row>
    <row r="172" spans="1:11" ht="15" customHeight="1" x14ac:dyDescent="0.25">
      <c r="A172" s="580"/>
      <c r="B172" s="30">
        <v>500</v>
      </c>
      <c r="C172" s="136">
        <v>1</v>
      </c>
      <c r="D172" s="149">
        <v>0.95</v>
      </c>
      <c r="F172" s="138"/>
      <c r="G172" s="30">
        <v>500</v>
      </c>
      <c r="H172" s="136">
        <f t="shared" si="38"/>
        <v>1</v>
      </c>
      <c r="I172" s="136">
        <f t="shared" si="39"/>
        <v>1</v>
      </c>
      <c r="J172" s="136">
        <f t="shared" si="40"/>
        <v>1</v>
      </c>
    </row>
    <row r="173" spans="1:11" ht="15" customHeight="1" x14ac:dyDescent="0.25">
      <c r="A173" s="580"/>
      <c r="B173" s="30">
        <v>600</v>
      </c>
      <c r="C173" s="136">
        <v>1</v>
      </c>
      <c r="D173" s="149">
        <v>0.97</v>
      </c>
      <c r="F173" s="138"/>
      <c r="G173" s="30">
        <v>600</v>
      </c>
      <c r="H173" s="136">
        <f t="shared" si="38"/>
        <v>1</v>
      </c>
      <c r="I173" s="136">
        <f t="shared" si="39"/>
        <v>1</v>
      </c>
      <c r="J173" s="136">
        <f t="shared" si="40"/>
        <v>1</v>
      </c>
    </row>
    <row r="174" spans="1:11" ht="15" customHeight="1" x14ac:dyDescent="0.25">
      <c r="A174" s="580"/>
      <c r="B174" s="30">
        <v>700</v>
      </c>
      <c r="C174" s="136">
        <v>1</v>
      </c>
      <c r="D174" s="149">
        <v>0.98</v>
      </c>
      <c r="F174" s="138"/>
      <c r="G174" s="30">
        <v>700</v>
      </c>
      <c r="H174" s="136">
        <f t="shared" si="38"/>
        <v>1</v>
      </c>
      <c r="I174" s="136">
        <f t="shared" si="39"/>
        <v>1</v>
      </c>
      <c r="J174" s="136">
        <f t="shared" si="40"/>
        <v>1</v>
      </c>
    </row>
    <row r="175" spans="1:11" ht="15" customHeight="1" x14ac:dyDescent="0.25">
      <c r="A175" s="580"/>
      <c r="B175" s="30">
        <v>800</v>
      </c>
      <c r="C175" s="136">
        <v>1</v>
      </c>
      <c r="D175" s="149">
        <v>0.99</v>
      </c>
      <c r="F175" s="138"/>
      <c r="G175" s="30">
        <v>800</v>
      </c>
      <c r="H175" s="136">
        <f t="shared" si="38"/>
        <v>1</v>
      </c>
      <c r="I175" s="136">
        <f t="shared" si="39"/>
        <v>1</v>
      </c>
      <c r="J175" s="136">
        <f t="shared" si="40"/>
        <v>1</v>
      </c>
    </row>
    <row r="176" spans="1:11" ht="15" customHeight="1" thickBot="1" x14ac:dyDescent="0.3">
      <c r="A176" s="581"/>
      <c r="B176" s="141">
        <v>900</v>
      </c>
      <c r="C176" s="142">
        <v>1</v>
      </c>
      <c r="D176" s="150">
        <v>1</v>
      </c>
      <c r="F176" s="138"/>
      <c r="G176" s="30" t="s">
        <v>103</v>
      </c>
      <c r="H176" s="136">
        <f t="shared" si="38"/>
        <v>1</v>
      </c>
      <c r="I176" s="136">
        <f t="shared" si="39"/>
        <v>1</v>
      </c>
      <c r="J176" s="136">
        <f t="shared" si="40"/>
        <v>1</v>
      </c>
    </row>
    <row r="177" spans="1:17" ht="15" customHeight="1" x14ac:dyDescent="0.25">
      <c r="F177" s="138"/>
    </row>
    <row r="178" spans="1:17" ht="15.75" customHeight="1" x14ac:dyDescent="0.25">
      <c r="F178" s="138">
        <v>900</v>
      </c>
      <c r="O178" s="60"/>
      <c r="P178" s="60"/>
      <c r="Q178" s="60"/>
    </row>
    <row r="179" spans="1:17" x14ac:dyDescent="0.25">
      <c r="O179" s="155"/>
      <c r="P179" s="199"/>
      <c r="Q179" s="199"/>
    </row>
    <row r="180" spans="1:17" x14ac:dyDescent="0.25">
      <c r="A180" s="1" t="s">
        <v>109</v>
      </c>
      <c r="B180" s="176"/>
      <c r="C180" s="1"/>
      <c r="D180" s="1"/>
      <c r="E180" s="1"/>
      <c r="F180" s="1"/>
      <c r="G180" s="1"/>
      <c r="O180" s="155"/>
      <c r="P180" s="199"/>
      <c r="Q180" s="199"/>
    </row>
    <row r="181" spans="1:17" x14ac:dyDescent="0.25">
      <c r="O181" s="155"/>
      <c r="P181" s="60"/>
      <c r="Q181" s="60"/>
    </row>
    <row r="182" spans="1:17" x14ac:dyDescent="0.25">
      <c r="A182" s="95" t="s">
        <v>133</v>
      </c>
      <c r="B182" s="123"/>
      <c r="C182" s="123"/>
      <c r="D182" s="107">
        <f>'DATOS DE ENTRADA'!C40</f>
        <v>50</v>
      </c>
      <c r="E182" s="105">
        <f>100-D182</f>
        <v>50</v>
      </c>
      <c r="F182" s="45"/>
      <c r="G182" s="45"/>
      <c r="H182" s="45"/>
      <c r="I182" s="45"/>
      <c r="J182" s="45"/>
      <c r="K182" s="45"/>
      <c r="L182" s="45"/>
      <c r="M182" s="45"/>
      <c r="O182" s="60"/>
      <c r="P182" s="60"/>
      <c r="Q182" s="60"/>
    </row>
    <row r="183" spans="1:17" ht="15.75" thickBot="1" x14ac:dyDescent="0.3">
      <c r="A183" s="153" t="s">
        <v>134</v>
      </c>
      <c r="B183" s="177"/>
      <c r="C183" s="178"/>
      <c r="D183" s="165">
        <f>'DATOS DE ENTRADA'!C75</f>
        <v>50</v>
      </c>
      <c r="E183" s="154">
        <f>100-D183</f>
        <v>50</v>
      </c>
      <c r="F183" s="73"/>
      <c r="G183" s="73"/>
      <c r="H183" s="73"/>
      <c r="I183" s="47"/>
      <c r="J183" s="66"/>
      <c r="K183" s="66"/>
      <c r="L183" s="175"/>
      <c r="M183" s="175"/>
    </row>
    <row r="184" spans="1:17" ht="15.75" thickBot="1" x14ac:dyDescent="0.3">
      <c r="A184" s="182" t="s">
        <v>135</v>
      </c>
      <c r="B184" s="183"/>
      <c r="C184" s="184"/>
      <c r="D184" s="185">
        <f>'DATOS DE ENTRADA'!C47</f>
        <v>50</v>
      </c>
      <c r="E184" s="186" t="s">
        <v>137</v>
      </c>
      <c r="F184" s="73"/>
      <c r="G184" s="73"/>
      <c r="H184" s="73"/>
      <c r="I184" s="66"/>
      <c r="J184" s="66"/>
      <c r="K184" s="66"/>
      <c r="L184" s="175"/>
      <c r="M184" s="175"/>
    </row>
    <row r="185" spans="1:17" ht="15.75" thickBot="1" x14ac:dyDescent="0.3">
      <c r="A185" s="179" t="s">
        <v>136</v>
      </c>
      <c r="B185" s="180"/>
      <c r="C185" s="181"/>
      <c r="D185" s="187">
        <f>'DATOS DE ENTRADA'!C82</f>
        <v>50</v>
      </c>
      <c r="E185" s="188" t="s">
        <v>137</v>
      </c>
      <c r="J185" s="155"/>
      <c r="K185" s="155"/>
    </row>
    <row r="186" spans="1:17" ht="15.75" thickBot="1" x14ac:dyDescent="0.3">
      <c r="J186" s="155"/>
      <c r="K186" s="155"/>
    </row>
    <row r="187" spans="1:17" ht="15.75" customHeight="1" thickBot="1" x14ac:dyDescent="0.3">
      <c r="A187" s="156" t="s">
        <v>112</v>
      </c>
      <c r="B187" s="585" t="s">
        <v>113</v>
      </c>
      <c r="C187" s="586"/>
      <c r="D187" s="586"/>
      <c r="E187" s="586"/>
      <c r="F187" s="586"/>
      <c r="G187" s="587"/>
    </row>
    <row r="188" spans="1:17" ht="15.75" customHeight="1" thickBot="1" x14ac:dyDescent="0.3">
      <c r="B188" s="156">
        <v>0</v>
      </c>
      <c r="C188" s="101">
        <v>20</v>
      </c>
      <c r="D188" s="101">
        <v>40</v>
      </c>
      <c r="E188" s="101">
        <v>60</v>
      </c>
      <c r="F188" s="101">
        <v>80</v>
      </c>
      <c r="G188" s="102">
        <v>100</v>
      </c>
      <c r="I188" s="156" t="s">
        <v>112</v>
      </c>
      <c r="J188" s="585" t="s">
        <v>113</v>
      </c>
      <c r="K188" s="586"/>
      <c r="L188" s="586"/>
      <c r="M188" s="586"/>
      <c r="N188" s="586"/>
      <c r="O188" s="587"/>
    </row>
    <row r="189" spans="1:17" ht="15.75" customHeight="1" thickBot="1" x14ac:dyDescent="0.3">
      <c r="B189" s="586" t="s">
        <v>114</v>
      </c>
      <c r="C189" s="586"/>
      <c r="D189" s="586"/>
      <c r="E189" s="586"/>
      <c r="F189" s="586"/>
      <c r="G189" s="586"/>
      <c r="J189" s="156">
        <v>0</v>
      </c>
      <c r="K189" s="101">
        <v>20</v>
      </c>
      <c r="L189" s="101">
        <v>40</v>
      </c>
      <c r="M189" s="101">
        <v>60</v>
      </c>
      <c r="N189" s="101">
        <v>80</v>
      </c>
      <c r="O189" s="102">
        <v>100</v>
      </c>
    </row>
    <row r="190" spans="1:17" ht="15.75" customHeight="1" thickBot="1" x14ac:dyDescent="0.3">
      <c r="A190" s="90">
        <v>200</v>
      </c>
      <c r="B190" s="91">
        <v>0</v>
      </c>
      <c r="C190" s="91">
        <v>10.1</v>
      </c>
      <c r="D190" s="91">
        <v>17.2</v>
      </c>
      <c r="E190" s="91">
        <v>20.2</v>
      </c>
      <c r="F190" s="91">
        <v>21</v>
      </c>
      <c r="G190" s="92">
        <v>21.8</v>
      </c>
      <c r="J190" s="586" t="s">
        <v>108</v>
      </c>
      <c r="K190" s="586"/>
      <c r="L190" s="586"/>
      <c r="M190" s="586"/>
      <c r="N190" s="586"/>
      <c r="O190" s="586"/>
    </row>
    <row r="191" spans="1:17" ht="15.75" thickBot="1" x14ac:dyDescent="0.3">
      <c r="A191" s="94">
        <v>400</v>
      </c>
      <c r="B191" s="95">
        <v>0</v>
      </c>
      <c r="C191" s="95">
        <v>12.4</v>
      </c>
      <c r="D191" s="95">
        <v>19</v>
      </c>
      <c r="E191" s="95">
        <v>22.7</v>
      </c>
      <c r="F191" s="95">
        <v>23.8</v>
      </c>
      <c r="G191" s="96">
        <v>24.8</v>
      </c>
      <c r="I191" s="157">
        <v>200</v>
      </c>
      <c r="J191" s="158">
        <f>IF($D$182=50,B190,IF($D$182=60,B199,IF($D$182=70,B208,IF($D$182=80,B216,IF($D$182=90,B224)))))</f>
        <v>0</v>
      </c>
      <c r="K191" s="158">
        <f t="shared" ref="K191:O198" si="41">IF($D$182=50,C190,IF($D$182=60,C199,IF($D$182=70,C208,IF($D$182=80,C216,IF($D$182=90,C224)))))</f>
        <v>10.1</v>
      </c>
      <c r="L191" s="158">
        <f t="shared" si="41"/>
        <v>17.2</v>
      </c>
      <c r="M191" s="158">
        <f t="shared" si="41"/>
        <v>20.2</v>
      </c>
      <c r="N191" s="158">
        <f t="shared" si="41"/>
        <v>21</v>
      </c>
      <c r="O191" s="158">
        <f t="shared" si="41"/>
        <v>21.8</v>
      </c>
    </row>
    <row r="192" spans="1:17" ht="15.75" thickBot="1" x14ac:dyDescent="0.3">
      <c r="A192" s="94">
        <v>600</v>
      </c>
      <c r="B192" s="95">
        <v>0</v>
      </c>
      <c r="C192" s="95">
        <v>11.2</v>
      </c>
      <c r="D192" s="95">
        <v>16</v>
      </c>
      <c r="E192" s="95">
        <v>18.7</v>
      </c>
      <c r="F192" s="95">
        <v>19.7</v>
      </c>
      <c r="G192" s="96">
        <v>20.5</v>
      </c>
      <c r="I192" s="159">
        <v>400</v>
      </c>
      <c r="J192" s="158">
        <f t="shared" ref="J192:J198" si="42">IF($D$182=50,B191,IF($D$182=60,B200,IF($D$182=70,B209,IF($D$182=80,B217,IF($D$182=90,B225)))))</f>
        <v>0</v>
      </c>
      <c r="K192" s="158">
        <f t="shared" si="41"/>
        <v>12.4</v>
      </c>
      <c r="L192" s="158">
        <f t="shared" si="41"/>
        <v>19</v>
      </c>
      <c r="M192" s="158">
        <f t="shared" si="41"/>
        <v>22.7</v>
      </c>
      <c r="N192" s="158">
        <f t="shared" si="41"/>
        <v>23.8</v>
      </c>
      <c r="O192" s="158">
        <f t="shared" si="41"/>
        <v>24.8</v>
      </c>
    </row>
    <row r="193" spans="1:15" ht="15.75" thickBot="1" x14ac:dyDescent="0.3">
      <c r="A193" s="94">
        <v>800</v>
      </c>
      <c r="B193" s="95">
        <v>0</v>
      </c>
      <c r="C193" s="95">
        <v>9</v>
      </c>
      <c r="D193" s="95">
        <v>12.3</v>
      </c>
      <c r="E193" s="95">
        <v>14.1</v>
      </c>
      <c r="F193" s="95">
        <v>14.5</v>
      </c>
      <c r="G193" s="96">
        <v>15.4</v>
      </c>
      <c r="I193" s="159">
        <v>600</v>
      </c>
      <c r="J193" s="158">
        <f t="shared" si="42"/>
        <v>0</v>
      </c>
      <c r="K193" s="158">
        <f t="shared" si="41"/>
        <v>11.2</v>
      </c>
      <c r="L193" s="158">
        <f t="shared" si="41"/>
        <v>16</v>
      </c>
      <c r="M193" s="158">
        <f t="shared" si="41"/>
        <v>18.7</v>
      </c>
      <c r="N193" s="158">
        <f t="shared" si="41"/>
        <v>19.7</v>
      </c>
      <c r="O193" s="158">
        <f t="shared" si="41"/>
        <v>20.5</v>
      </c>
    </row>
    <row r="194" spans="1:15" ht="15.75" thickBot="1" x14ac:dyDescent="0.3">
      <c r="A194" s="94">
        <v>1400</v>
      </c>
      <c r="B194" s="95">
        <v>0</v>
      </c>
      <c r="C194" s="95">
        <v>3.6</v>
      </c>
      <c r="D194" s="95">
        <v>5.5</v>
      </c>
      <c r="E194" s="95">
        <v>6.7</v>
      </c>
      <c r="F194" s="95">
        <v>7.3</v>
      </c>
      <c r="G194" s="96">
        <v>7.9</v>
      </c>
      <c r="I194" s="159">
        <v>800</v>
      </c>
      <c r="J194" s="158">
        <f t="shared" si="42"/>
        <v>0</v>
      </c>
      <c r="K194" s="158">
        <f t="shared" si="41"/>
        <v>9</v>
      </c>
      <c r="L194" s="158">
        <f t="shared" si="41"/>
        <v>12.3</v>
      </c>
      <c r="M194" s="158">
        <f t="shared" si="41"/>
        <v>14.1</v>
      </c>
      <c r="N194" s="158">
        <f t="shared" si="41"/>
        <v>14.5</v>
      </c>
      <c r="O194" s="158">
        <f t="shared" si="41"/>
        <v>15.4</v>
      </c>
    </row>
    <row r="195" spans="1:15" ht="15.75" thickBot="1" x14ac:dyDescent="0.3">
      <c r="A195" s="94">
        <v>2000</v>
      </c>
      <c r="B195" s="95">
        <v>0</v>
      </c>
      <c r="C195" s="95">
        <v>1.8</v>
      </c>
      <c r="D195" s="95">
        <v>2.9</v>
      </c>
      <c r="E195" s="95">
        <v>3.7</v>
      </c>
      <c r="F195" s="95">
        <v>4.0999999999999996</v>
      </c>
      <c r="G195" s="96">
        <v>4.4000000000000004</v>
      </c>
      <c r="I195" s="159">
        <v>1400</v>
      </c>
      <c r="J195" s="158">
        <f t="shared" si="42"/>
        <v>0</v>
      </c>
      <c r="K195" s="158">
        <f t="shared" si="41"/>
        <v>3.6</v>
      </c>
      <c r="L195" s="158">
        <f t="shared" si="41"/>
        <v>5.5</v>
      </c>
      <c r="M195" s="158">
        <f t="shared" si="41"/>
        <v>6.7</v>
      </c>
      <c r="N195" s="158">
        <f t="shared" si="41"/>
        <v>7.3</v>
      </c>
      <c r="O195" s="158">
        <f t="shared" si="41"/>
        <v>7.9</v>
      </c>
    </row>
    <row r="196" spans="1:15" ht="15.75" thickBot="1" x14ac:dyDescent="0.3">
      <c r="A196" s="94">
        <v>2600</v>
      </c>
      <c r="B196" s="95">
        <v>0</v>
      </c>
      <c r="C196" s="95">
        <v>1.1000000000000001</v>
      </c>
      <c r="D196" s="95">
        <v>1.6</v>
      </c>
      <c r="E196" s="95">
        <v>2</v>
      </c>
      <c r="F196" s="95">
        <v>2.2999999999999998</v>
      </c>
      <c r="G196" s="96">
        <v>2.4</v>
      </c>
      <c r="I196" s="159">
        <v>2000</v>
      </c>
      <c r="J196" s="158">
        <f t="shared" si="42"/>
        <v>0</v>
      </c>
      <c r="K196" s="158">
        <f t="shared" si="41"/>
        <v>1.8</v>
      </c>
      <c r="L196" s="158">
        <f t="shared" si="41"/>
        <v>2.9</v>
      </c>
      <c r="M196" s="158">
        <f t="shared" si="41"/>
        <v>3.7</v>
      </c>
      <c r="N196" s="158">
        <f t="shared" si="41"/>
        <v>4.0999999999999996</v>
      </c>
      <c r="O196" s="158">
        <f t="shared" si="41"/>
        <v>4.4000000000000004</v>
      </c>
    </row>
    <row r="197" spans="1:15" ht="15.75" thickBot="1" x14ac:dyDescent="0.3">
      <c r="A197" s="98">
        <v>3200</v>
      </c>
      <c r="B197" s="99">
        <v>0</v>
      </c>
      <c r="C197" s="99">
        <v>0.7</v>
      </c>
      <c r="D197" s="99">
        <v>0.9</v>
      </c>
      <c r="E197" s="99">
        <v>1.1000000000000001</v>
      </c>
      <c r="F197" s="99">
        <v>1.2</v>
      </c>
      <c r="G197" s="100">
        <v>1.4</v>
      </c>
      <c r="I197" s="159">
        <v>2600</v>
      </c>
      <c r="J197" s="158">
        <f t="shared" si="42"/>
        <v>0</v>
      </c>
      <c r="K197" s="158">
        <f t="shared" si="41"/>
        <v>1.1000000000000001</v>
      </c>
      <c r="L197" s="158">
        <f t="shared" si="41"/>
        <v>1.6</v>
      </c>
      <c r="M197" s="158">
        <f t="shared" si="41"/>
        <v>2</v>
      </c>
      <c r="N197" s="158">
        <f t="shared" si="41"/>
        <v>2.2999999999999998</v>
      </c>
      <c r="O197" s="158">
        <f t="shared" si="41"/>
        <v>2.4</v>
      </c>
    </row>
    <row r="198" spans="1:15" ht="15.75" customHeight="1" thickBot="1" x14ac:dyDescent="0.3">
      <c r="B198" s="586" t="s">
        <v>115</v>
      </c>
      <c r="C198" s="586"/>
      <c r="D198" s="586"/>
      <c r="E198" s="586"/>
      <c r="F198" s="586"/>
      <c r="G198" s="586"/>
      <c r="I198" s="160">
        <v>3200</v>
      </c>
      <c r="J198" s="158">
        <f t="shared" si="42"/>
        <v>0</v>
      </c>
      <c r="K198" s="158">
        <f t="shared" si="41"/>
        <v>0.7</v>
      </c>
      <c r="L198" s="158">
        <f t="shared" si="41"/>
        <v>0.9</v>
      </c>
      <c r="M198" s="158">
        <f t="shared" si="41"/>
        <v>1.1000000000000001</v>
      </c>
      <c r="N198" s="158">
        <f t="shared" si="41"/>
        <v>1.2</v>
      </c>
      <c r="O198" s="158">
        <f t="shared" si="41"/>
        <v>1.4</v>
      </c>
    </row>
    <row r="199" spans="1:15" x14ac:dyDescent="0.25">
      <c r="A199" s="90">
        <v>200</v>
      </c>
      <c r="B199" s="91">
        <v>1.6</v>
      </c>
      <c r="C199" s="91">
        <v>11.8</v>
      </c>
      <c r="D199" s="91">
        <v>17.2</v>
      </c>
      <c r="E199" s="91">
        <v>22.5</v>
      </c>
      <c r="F199" s="91">
        <v>23.1</v>
      </c>
      <c r="G199" s="92">
        <v>23.7</v>
      </c>
    </row>
    <row r="200" spans="1:15" x14ac:dyDescent="0.25">
      <c r="A200" s="94">
        <v>400</v>
      </c>
      <c r="B200" s="95">
        <v>0.5</v>
      </c>
      <c r="C200" s="95">
        <v>11.7</v>
      </c>
      <c r="D200" s="95">
        <v>16.2</v>
      </c>
      <c r="E200" s="95">
        <v>20.7</v>
      </c>
      <c r="F200" s="95">
        <v>21.5</v>
      </c>
      <c r="G200" s="96">
        <v>22.2</v>
      </c>
    </row>
    <row r="201" spans="1:15" x14ac:dyDescent="0.25">
      <c r="A201" s="94">
        <v>600</v>
      </c>
      <c r="B201" s="95">
        <v>0</v>
      </c>
      <c r="C201" s="95">
        <v>11.5</v>
      </c>
      <c r="D201" s="95">
        <v>15.2</v>
      </c>
      <c r="E201" s="95">
        <v>18.899999999999999</v>
      </c>
      <c r="F201" s="95">
        <v>19.8</v>
      </c>
      <c r="G201" s="96">
        <v>20.7</v>
      </c>
      <c r="O201" s="152"/>
    </row>
    <row r="202" spans="1:15" x14ac:dyDescent="0.25">
      <c r="A202" s="94">
        <v>800</v>
      </c>
      <c r="B202" s="95">
        <v>0</v>
      </c>
      <c r="C202" s="95">
        <v>7.6</v>
      </c>
      <c r="D202" s="95">
        <v>10.3</v>
      </c>
      <c r="E202" s="95">
        <v>13</v>
      </c>
      <c r="F202" s="95">
        <v>13.7</v>
      </c>
      <c r="G202" s="96">
        <v>14.4</v>
      </c>
      <c r="O202" s="108"/>
    </row>
    <row r="203" spans="1:15" x14ac:dyDescent="0.25">
      <c r="A203" s="94">
        <v>1400</v>
      </c>
      <c r="B203" s="95">
        <v>0</v>
      </c>
      <c r="C203" s="95">
        <v>3.7</v>
      </c>
      <c r="D203" s="95">
        <v>5.4</v>
      </c>
      <c r="E203" s="95">
        <v>7.1</v>
      </c>
      <c r="F203" s="95">
        <v>7.6</v>
      </c>
      <c r="G203" s="96">
        <v>8.1</v>
      </c>
      <c r="O203" s="152"/>
    </row>
    <row r="204" spans="1:15" x14ac:dyDescent="0.25">
      <c r="A204" s="94">
        <v>2000</v>
      </c>
      <c r="B204" s="95">
        <v>0</v>
      </c>
      <c r="C204" s="95">
        <v>2.2999999999999998</v>
      </c>
      <c r="D204" s="95">
        <v>3.4</v>
      </c>
      <c r="E204" s="95">
        <v>3.6</v>
      </c>
      <c r="F204" s="95">
        <v>4</v>
      </c>
      <c r="G204" s="96">
        <v>4.3</v>
      </c>
      <c r="O204" s="108"/>
    </row>
    <row r="205" spans="1:15" ht="15.75" thickBot="1" x14ac:dyDescent="0.3">
      <c r="A205" s="98">
        <v>2600</v>
      </c>
      <c r="B205" s="99">
        <v>0</v>
      </c>
      <c r="C205" s="99">
        <v>0.9</v>
      </c>
      <c r="D205" s="99">
        <v>1.4</v>
      </c>
      <c r="E205" s="99">
        <v>1.9</v>
      </c>
      <c r="F205" s="99">
        <v>2.1</v>
      </c>
      <c r="G205" s="100">
        <v>2.2000000000000002</v>
      </c>
      <c r="O205" s="108"/>
    </row>
    <row r="206" spans="1:15" x14ac:dyDescent="0.25">
      <c r="A206" s="108"/>
      <c r="B206" s="108"/>
      <c r="C206" s="108"/>
      <c r="D206" s="108"/>
      <c r="E206" s="108"/>
      <c r="F206" s="108"/>
      <c r="G206" s="108"/>
      <c r="O206" s="108"/>
    </row>
    <row r="207" spans="1:15" ht="15.75" customHeight="1" thickBot="1" x14ac:dyDescent="0.3">
      <c r="B207" s="588" t="s">
        <v>116</v>
      </c>
      <c r="C207" s="588"/>
      <c r="D207" s="588"/>
      <c r="E207" s="588"/>
      <c r="F207" s="588"/>
      <c r="G207" s="588"/>
      <c r="O207" s="108"/>
    </row>
    <row r="208" spans="1:15" x14ac:dyDescent="0.25">
      <c r="A208" s="90">
        <v>200</v>
      </c>
      <c r="B208" s="91">
        <v>2.8</v>
      </c>
      <c r="C208" s="91">
        <v>13.4</v>
      </c>
      <c r="D208" s="91">
        <v>19.100000000000001</v>
      </c>
      <c r="E208" s="91">
        <v>24.8</v>
      </c>
      <c r="F208" s="91">
        <v>25.2</v>
      </c>
      <c r="G208" s="92">
        <v>25.5</v>
      </c>
      <c r="O208" s="108"/>
    </row>
    <row r="209" spans="1:15" x14ac:dyDescent="0.25">
      <c r="A209" s="94">
        <v>400</v>
      </c>
      <c r="B209" s="95">
        <v>1.1000000000000001</v>
      </c>
      <c r="C209" s="95">
        <v>12.5</v>
      </c>
      <c r="D209" s="95">
        <v>17.3</v>
      </c>
      <c r="E209" s="95">
        <v>22</v>
      </c>
      <c r="F209" s="95">
        <v>22.6</v>
      </c>
      <c r="G209" s="96">
        <v>23.2</v>
      </c>
      <c r="O209" s="108"/>
    </row>
    <row r="210" spans="1:15" ht="15.75" thickBot="1" x14ac:dyDescent="0.3">
      <c r="A210" s="94">
        <v>600</v>
      </c>
      <c r="B210" s="95">
        <v>0</v>
      </c>
      <c r="C210" s="95">
        <v>11.6</v>
      </c>
      <c r="D210" s="95">
        <v>15.4</v>
      </c>
      <c r="E210" s="95">
        <v>19.100000000000001</v>
      </c>
      <c r="F210" s="95">
        <v>20</v>
      </c>
      <c r="G210" s="96">
        <v>20.9</v>
      </c>
      <c r="K210" s="108"/>
      <c r="L210" s="108"/>
      <c r="M210" s="268">
        <v>0</v>
      </c>
      <c r="N210" s="108"/>
      <c r="O210" s="108"/>
    </row>
    <row r="211" spans="1:15" ht="15.75" customHeight="1" thickBot="1" x14ac:dyDescent="0.3">
      <c r="A211" s="94">
        <v>800</v>
      </c>
      <c r="B211" s="95">
        <v>0</v>
      </c>
      <c r="C211" s="95">
        <v>7.7</v>
      </c>
      <c r="D211" s="95">
        <v>10.5</v>
      </c>
      <c r="E211" s="95">
        <v>13.3</v>
      </c>
      <c r="F211" s="95">
        <v>14</v>
      </c>
      <c r="G211" s="96">
        <v>14.6</v>
      </c>
      <c r="I211" s="156" t="s">
        <v>112</v>
      </c>
      <c r="J211" s="585" t="s">
        <v>113</v>
      </c>
      <c r="K211" s="586"/>
      <c r="L211" s="586"/>
      <c r="M211" s="586"/>
      <c r="N211" s="586"/>
      <c r="O211" s="587"/>
    </row>
    <row r="212" spans="1:15" ht="15.75" thickBot="1" x14ac:dyDescent="0.3">
      <c r="A212" s="94">
        <v>1400</v>
      </c>
      <c r="B212" s="95">
        <v>0</v>
      </c>
      <c r="C212" s="95">
        <v>3.8</v>
      </c>
      <c r="D212" s="95">
        <v>5.6</v>
      </c>
      <c r="E212" s="95">
        <v>7.4</v>
      </c>
      <c r="F212" s="95">
        <v>7.9</v>
      </c>
      <c r="G212" s="96">
        <v>8.3000000000000007</v>
      </c>
      <c r="J212" s="156">
        <v>0</v>
      </c>
      <c r="K212" s="101">
        <v>20</v>
      </c>
      <c r="L212" s="101">
        <v>40</v>
      </c>
      <c r="M212" s="101">
        <v>60</v>
      </c>
      <c r="N212" s="101">
        <v>80</v>
      </c>
      <c r="O212" s="102">
        <v>100</v>
      </c>
    </row>
    <row r="213" spans="1:15" ht="15.75" customHeight="1" thickBot="1" x14ac:dyDescent="0.3">
      <c r="A213" s="98">
        <v>2000</v>
      </c>
      <c r="B213" s="99">
        <v>0</v>
      </c>
      <c r="C213" s="99">
        <v>1.4</v>
      </c>
      <c r="D213" s="99">
        <v>4.9000000000000004</v>
      </c>
      <c r="E213" s="99">
        <v>3.5</v>
      </c>
      <c r="F213" s="99">
        <v>3.9</v>
      </c>
      <c r="G213" s="100">
        <v>4.2</v>
      </c>
      <c r="J213" s="586" t="s">
        <v>108</v>
      </c>
      <c r="K213" s="586"/>
      <c r="L213" s="586"/>
      <c r="M213" s="586"/>
      <c r="N213" s="586"/>
      <c r="O213" s="586"/>
    </row>
    <row r="214" spans="1:15" ht="15.75" thickBot="1" x14ac:dyDescent="0.3">
      <c r="A214" s="108"/>
      <c r="B214" s="108"/>
      <c r="C214" s="108"/>
      <c r="D214" s="108"/>
      <c r="E214" s="108"/>
      <c r="F214" s="108"/>
      <c r="G214" s="108"/>
      <c r="I214" s="157">
        <v>200</v>
      </c>
      <c r="J214" s="158">
        <f>IF($D$183=50,B190,IF($D$183=60,B199,IF($D$183=70,B208,IF($D$183=80,B216,IF($D$183=90,B224)))))</f>
        <v>0</v>
      </c>
      <c r="K214" s="158">
        <f t="shared" ref="K214:O221" si="43">IF($D$183=50,C190,IF($D$183=60,C199,IF($D$183=70,C208,IF($D$183=80,C216,IF($D$183=90,C224)))))</f>
        <v>10.1</v>
      </c>
      <c r="L214" s="158">
        <f t="shared" si="43"/>
        <v>17.2</v>
      </c>
      <c r="M214" s="158">
        <f t="shared" si="43"/>
        <v>20.2</v>
      </c>
      <c r="N214" s="158">
        <f t="shared" si="43"/>
        <v>21</v>
      </c>
      <c r="O214" s="158">
        <f t="shared" si="43"/>
        <v>21.8</v>
      </c>
    </row>
    <row r="215" spans="1:15" ht="15.75" customHeight="1" thickBot="1" x14ac:dyDescent="0.3">
      <c r="B215" s="588" t="s">
        <v>117</v>
      </c>
      <c r="C215" s="588"/>
      <c r="D215" s="588"/>
      <c r="E215" s="588"/>
      <c r="F215" s="588"/>
      <c r="G215" s="588"/>
      <c r="I215" s="159">
        <v>400</v>
      </c>
      <c r="J215" s="158">
        <f t="shared" ref="J215:J221" si="44">IF($D$183=50,B191,IF($D$183=60,B200,IF($D$183=70,B209,IF($D$183=80,B217,IF($D$183=90,B225)))))</f>
        <v>0</v>
      </c>
      <c r="K215" s="158">
        <f t="shared" si="43"/>
        <v>12.4</v>
      </c>
      <c r="L215" s="158">
        <f t="shared" si="43"/>
        <v>19</v>
      </c>
      <c r="M215" s="158">
        <f t="shared" si="43"/>
        <v>22.7</v>
      </c>
      <c r="N215" s="158">
        <f t="shared" si="43"/>
        <v>23.8</v>
      </c>
      <c r="O215" s="158">
        <f t="shared" si="43"/>
        <v>24.8</v>
      </c>
    </row>
    <row r="216" spans="1:15" ht="15.75" thickBot="1" x14ac:dyDescent="0.3">
      <c r="A216" s="90">
        <v>200</v>
      </c>
      <c r="B216" s="91">
        <v>5.0999999999999996</v>
      </c>
      <c r="C216" s="91">
        <v>17.5</v>
      </c>
      <c r="D216" s="91">
        <v>24.3</v>
      </c>
      <c r="E216" s="91">
        <v>31</v>
      </c>
      <c r="F216" s="91">
        <v>31.3</v>
      </c>
      <c r="G216" s="92">
        <v>31.6</v>
      </c>
      <c r="I216" s="159">
        <v>600</v>
      </c>
      <c r="J216" s="158">
        <f t="shared" si="44"/>
        <v>0</v>
      </c>
      <c r="K216" s="158">
        <f t="shared" si="43"/>
        <v>11.2</v>
      </c>
      <c r="L216" s="158">
        <f t="shared" si="43"/>
        <v>16</v>
      </c>
      <c r="M216" s="158">
        <f t="shared" si="43"/>
        <v>18.7</v>
      </c>
      <c r="N216" s="158">
        <f t="shared" si="43"/>
        <v>19.7</v>
      </c>
      <c r="O216" s="158">
        <f t="shared" si="43"/>
        <v>20.5</v>
      </c>
    </row>
    <row r="217" spans="1:15" ht="15.75" thickBot="1" x14ac:dyDescent="0.3">
      <c r="A217" s="94">
        <v>400</v>
      </c>
      <c r="B217" s="95">
        <v>2.5</v>
      </c>
      <c r="C217" s="95">
        <v>15.8</v>
      </c>
      <c r="D217" s="95">
        <v>21.5</v>
      </c>
      <c r="E217" s="95">
        <v>27.1</v>
      </c>
      <c r="F217" s="95">
        <v>27.6</v>
      </c>
      <c r="G217" s="96">
        <v>28</v>
      </c>
      <c r="I217" s="159">
        <v>800</v>
      </c>
      <c r="J217" s="158">
        <f t="shared" si="44"/>
        <v>0</v>
      </c>
      <c r="K217" s="158">
        <f t="shared" si="43"/>
        <v>9</v>
      </c>
      <c r="L217" s="158">
        <f t="shared" si="43"/>
        <v>12.3</v>
      </c>
      <c r="M217" s="158">
        <f t="shared" si="43"/>
        <v>14.1</v>
      </c>
      <c r="N217" s="158">
        <f t="shared" si="43"/>
        <v>14.5</v>
      </c>
      <c r="O217" s="158">
        <f t="shared" si="43"/>
        <v>15.4</v>
      </c>
    </row>
    <row r="218" spans="1:15" ht="15.75" thickBot="1" x14ac:dyDescent="0.3">
      <c r="A218" s="94">
        <v>600</v>
      </c>
      <c r="B218" s="95">
        <v>0</v>
      </c>
      <c r="C218" s="95">
        <v>14</v>
      </c>
      <c r="D218" s="95">
        <v>18.600000000000001</v>
      </c>
      <c r="E218" s="95">
        <v>23.2</v>
      </c>
      <c r="F218" s="95">
        <v>23.9</v>
      </c>
      <c r="G218" s="96">
        <v>24.5</v>
      </c>
      <c r="I218" s="159">
        <v>1400</v>
      </c>
      <c r="J218" s="158">
        <f t="shared" si="44"/>
        <v>0</v>
      </c>
      <c r="K218" s="158">
        <f t="shared" si="43"/>
        <v>3.6</v>
      </c>
      <c r="L218" s="158">
        <f t="shared" si="43"/>
        <v>5.5</v>
      </c>
      <c r="M218" s="158">
        <f t="shared" si="43"/>
        <v>6.7</v>
      </c>
      <c r="N218" s="158">
        <f t="shared" si="43"/>
        <v>7.3</v>
      </c>
      <c r="O218" s="158">
        <f t="shared" si="43"/>
        <v>7.9</v>
      </c>
    </row>
    <row r="219" spans="1:15" ht="15.75" thickBot="1" x14ac:dyDescent="0.3">
      <c r="A219" s="94">
        <v>800</v>
      </c>
      <c r="B219" s="95">
        <v>0</v>
      </c>
      <c r="C219" s="95">
        <v>9.3000000000000007</v>
      </c>
      <c r="D219" s="95">
        <v>12.7</v>
      </c>
      <c r="E219" s="95">
        <v>16</v>
      </c>
      <c r="F219" s="95">
        <v>16.5</v>
      </c>
      <c r="G219" s="96">
        <v>17</v>
      </c>
      <c r="I219" s="159">
        <v>2000</v>
      </c>
      <c r="J219" s="158">
        <f t="shared" si="44"/>
        <v>0</v>
      </c>
      <c r="K219" s="158">
        <f t="shared" si="43"/>
        <v>1.8</v>
      </c>
      <c r="L219" s="158">
        <f t="shared" si="43"/>
        <v>2.9</v>
      </c>
      <c r="M219" s="158">
        <f t="shared" si="43"/>
        <v>3.7</v>
      </c>
      <c r="N219" s="158">
        <f t="shared" si="43"/>
        <v>4.0999999999999996</v>
      </c>
      <c r="O219" s="158">
        <f t="shared" si="43"/>
        <v>4.4000000000000004</v>
      </c>
    </row>
    <row r="220" spans="1:15" ht="15.75" thickBot="1" x14ac:dyDescent="0.3">
      <c r="A220" s="98">
        <v>1400</v>
      </c>
      <c r="B220" s="99">
        <v>0</v>
      </c>
      <c r="C220" s="99">
        <v>4.5999999999999996</v>
      </c>
      <c r="D220" s="99">
        <v>6.7</v>
      </c>
      <c r="E220" s="99">
        <v>8.6999999999999993</v>
      </c>
      <c r="F220" s="99">
        <v>9.1</v>
      </c>
      <c r="G220" s="100">
        <v>9.5</v>
      </c>
      <c r="I220" s="159">
        <v>2600</v>
      </c>
      <c r="J220" s="158">
        <f t="shared" si="44"/>
        <v>0</v>
      </c>
      <c r="K220" s="158">
        <f t="shared" si="43"/>
        <v>1.1000000000000001</v>
      </c>
      <c r="L220" s="158">
        <f t="shared" si="43"/>
        <v>1.6</v>
      </c>
      <c r="M220" s="158">
        <f t="shared" si="43"/>
        <v>2</v>
      </c>
      <c r="N220" s="158">
        <f t="shared" si="43"/>
        <v>2.2999999999999998</v>
      </c>
      <c r="O220" s="158">
        <f t="shared" si="43"/>
        <v>2.4</v>
      </c>
    </row>
    <row r="221" spans="1:15" ht="15.75" thickBot="1" x14ac:dyDescent="0.3">
      <c r="A221" s="161">
        <v>2000</v>
      </c>
      <c r="B221" s="162">
        <v>0</v>
      </c>
      <c r="C221" s="162">
        <v>2.4</v>
      </c>
      <c r="D221" s="162">
        <v>3.4</v>
      </c>
      <c r="E221" s="162">
        <v>4.5</v>
      </c>
      <c r="F221" s="162">
        <v>4.7</v>
      </c>
      <c r="G221" s="163">
        <v>4.9000000000000004</v>
      </c>
      <c r="I221" s="160">
        <v>3200</v>
      </c>
      <c r="J221" s="158">
        <f t="shared" si="44"/>
        <v>0</v>
      </c>
      <c r="K221" s="158">
        <f t="shared" si="43"/>
        <v>0.7</v>
      </c>
      <c r="L221" s="158">
        <f t="shared" si="43"/>
        <v>0.9</v>
      </c>
      <c r="M221" s="158">
        <f t="shared" si="43"/>
        <v>1.1000000000000001</v>
      </c>
      <c r="N221" s="158">
        <f t="shared" si="43"/>
        <v>1.2</v>
      </c>
      <c r="O221" s="158">
        <f t="shared" si="43"/>
        <v>1.4</v>
      </c>
    </row>
    <row r="222" spans="1:15" x14ac:dyDescent="0.25">
      <c r="A222" s="108"/>
      <c r="B222" s="108"/>
      <c r="C222" s="108"/>
      <c r="D222" s="108"/>
      <c r="E222" s="108"/>
      <c r="F222" s="108"/>
      <c r="G222" s="108"/>
    </row>
    <row r="223" spans="1:15" ht="15.75" thickBot="1" x14ac:dyDescent="0.3">
      <c r="B223" s="589" t="s">
        <v>118</v>
      </c>
      <c r="C223" s="589"/>
      <c r="D223" s="589"/>
      <c r="E223" s="589"/>
      <c r="F223" s="589"/>
      <c r="G223" s="589"/>
    </row>
    <row r="224" spans="1:15" x14ac:dyDescent="0.25">
      <c r="A224" s="90">
        <v>200</v>
      </c>
      <c r="B224" s="91">
        <v>5.6</v>
      </c>
      <c r="C224" s="91">
        <v>21.6</v>
      </c>
      <c r="D224" s="91">
        <v>29.4</v>
      </c>
      <c r="E224" s="91">
        <v>37.200000000000003</v>
      </c>
      <c r="F224" s="91">
        <v>37.4</v>
      </c>
      <c r="G224" s="92">
        <v>37.6</v>
      </c>
      <c r="K224" s="152"/>
      <c r="L224" s="152"/>
      <c r="M224" s="152"/>
      <c r="N224" s="152"/>
      <c r="O224" s="152"/>
    </row>
    <row r="225" spans="1:15" x14ac:dyDescent="0.25">
      <c r="A225" s="94">
        <v>400</v>
      </c>
      <c r="B225" s="95">
        <v>2.4</v>
      </c>
      <c r="C225" s="95">
        <v>19</v>
      </c>
      <c r="D225" s="95">
        <v>25.6</v>
      </c>
      <c r="E225" s="95">
        <v>32.200000000000003</v>
      </c>
      <c r="F225" s="95">
        <v>32.5</v>
      </c>
      <c r="G225" s="96">
        <v>32.799999999999997</v>
      </c>
      <c r="K225" s="108"/>
      <c r="L225" s="108"/>
      <c r="M225" s="108"/>
      <c r="N225" s="108"/>
      <c r="O225" s="108"/>
    </row>
    <row r="226" spans="1:15" x14ac:dyDescent="0.25">
      <c r="A226" s="94">
        <v>600</v>
      </c>
      <c r="B226" s="95">
        <v>0</v>
      </c>
      <c r="C226" s="95">
        <v>16.3</v>
      </c>
      <c r="D226" s="95">
        <v>21.8</v>
      </c>
      <c r="E226" s="95">
        <v>27.2</v>
      </c>
      <c r="F226" s="95">
        <v>27.6</v>
      </c>
      <c r="G226" s="96">
        <v>28</v>
      </c>
      <c r="K226" s="152"/>
      <c r="M226" s="152"/>
      <c r="N226" s="152"/>
      <c r="O226" s="152"/>
    </row>
    <row r="227" spans="1:15" x14ac:dyDescent="0.25">
      <c r="A227" s="94">
        <v>800</v>
      </c>
      <c r="B227" s="95">
        <v>0</v>
      </c>
      <c r="C227" s="95">
        <v>10.9</v>
      </c>
      <c r="D227" s="95">
        <v>14.8</v>
      </c>
      <c r="E227" s="95">
        <v>18.600000000000001</v>
      </c>
      <c r="F227" s="95">
        <v>19</v>
      </c>
      <c r="G227" s="96">
        <v>19.399999999999999</v>
      </c>
      <c r="K227" s="108"/>
      <c r="M227" s="108"/>
      <c r="N227" s="108"/>
      <c r="O227" s="108"/>
    </row>
    <row r="228" spans="1:15" ht="15.75" thickBot="1" x14ac:dyDescent="0.3">
      <c r="A228" s="98">
        <v>1400</v>
      </c>
      <c r="B228" s="99">
        <v>0</v>
      </c>
      <c r="C228" s="99">
        <v>5.5</v>
      </c>
      <c r="D228" s="99">
        <v>7.8</v>
      </c>
      <c r="E228" s="99">
        <v>10</v>
      </c>
      <c r="F228" s="99">
        <v>10.4</v>
      </c>
      <c r="G228" s="100">
        <v>10.7</v>
      </c>
      <c r="K228" s="108"/>
      <c r="M228" s="108"/>
      <c r="N228" s="108"/>
      <c r="O228" s="108"/>
    </row>
    <row r="229" spans="1:15" x14ac:dyDescent="0.25">
      <c r="K229" s="108"/>
      <c r="M229" s="108"/>
      <c r="N229" s="108"/>
      <c r="O229" s="108"/>
    </row>
    <row r="230" spans="1:15" x14ac:dyDescent="0.25">
      <c r="K230" s="108"/>
      <c r="M230" s="108"/>
      <c r="N230" s="108"/>
      <c r="O230" s="108"/>
    </row>
    <row r="231" spans="1:15" x14ac:dyDescent="0.25">
      <c r="A231" t="s">
        <v>119</v>
      </c>
      <c r="B231" t="s">
        <v>120</v>
      </c>
      <c r="K231" s="108"/>
      <c r="M231" s="108"/>
      <c r="N231" s="108"/>
      <c r="O231" s="108"/>
    </row>
    <row r="233" spans="1:15" x14ac:dyDescent="0.25">
      <c r="A233" s="31" t="s">
        <v>141</v>
      </c>
      <c r="D233" s="31"/>
      <c r="E233" s="31"/>
    </row>
    <row r="234" spans="1:15" x14ac:dyDescent="0.25">
      <c r="A234" s="31"/>
      <c r="D234" s="31"/>
      <c r="E234" s="31"/>
    </row>
    <row r="235" spans="1:15" ht="15.75" thickBot="1" x14ac:dyDescent="0.3">
      <c r="D235" s="190"/>
      <c r="E235" s="190"/>
    </row>
    <row r="236" spans="1:15" ht="15.75" thickBot="1" x14ac:dyDescent="0.3">
      <c r="A236" s="189" t="s">
        <v>142</v>
      </c>
      <c r="B236" s="189" t="s">
        <v>143</v>
      </c>
      <c r="D236" s="193" t="s">
        <v>17</v>
      </c>
      <c r="E236" s="193"/>
    </row>
    <row r="237" spans="1:15" x14ac:dyDescent="0.25">
      <c r="A237" s="191">
        <v>100</v>
      </c>
      <c r="B237" s="192">
        <v>0.83</v>
      </c>
      <c r="D237" s="193"/>
      <c r="E237" s="35" t="s">
        <v>143</v>
      </c>
    </row>
    <row r="238" spans="1:15" x14ac:dyDescent="0.25">
      <c r="A238" s="194">
        <f>A237+100</f>
        <v>200</v>
      </c>
      <c r="B238" s="195">
        <v>0.87</v>
      </c>
      <c r="D238" s="193" t="s">
        <v>46</v>
      </c>
      <c r="E238" s="196">
        <v>0.91</v>
      </c>
    </row>
    <row r="239" spans="1:15" x14ac:dyDescent="0.25">
      <c r="A239" s="194">
        <f t="shared" ref="A239:A255" si="45">A238+100</f>
        <v>300</v>
      </c>
      <c r="B239" s="195">
        <v>0.9</v>
      </c>
      <c r="D239" s="193" t="s">
        <v>47</v>
      </c>
      <c r="E239" s="196">
        <v>0.92</v>
      </c>
    </row>
    <row r="240" spans="1:15" x14ac:dyDescent="0.25">
      <c r="A240" s="194">
        <f t="shared" si="45"/>
        <v>400</v>
      </c>
      <c r="B240" s="195">
        <v>0.91</v>
      </c>
      <c r="D240" s="193" t="s">
        <v>144</v>
      </c>
      <c r="E240" s="196">
        <v>0.94</v>
      </c>
    </row>
    <row r="241" spans="1:12" x14ac:dyDescent="0.25">
      <c r="A241" s="194">
        <f t="shared" si="45"/>
        <v>500</v>
      </c>
      <c r="B241" s="195">
        <v>0.91</v>
      </c>
      <c r="D241" s="193" t="s">
        <v>145</v>
      </c>
      <c r="E241" s="196">
        <v>0.95</v>
      </c>
    </row>
    <row r="242" spans="1:12" x14ac:dyDescent="0.25">
      <c r="A242" s="194">
        <f t="shared" si="45"/>
        <v>600</v>
      </c>
      <c r="B242" s="195">
        <v>0.92</v>
      </c>
      <c r="D242" s="193" t="s">
        <v>146</v>
      </c>
      <c r="E242" s="196">
        <v>1</v>
      </c>
    </row>
    <row r="243" spans="1:12" x14ac:dyDescent="0.25">
      <c r="A243" s="194">
        <f t="shared" si="45"/>
        <v>700</v>
      </c>
      <c r="B243" s="195">
        <v>0.92</v>
      </c>
      <c r="D243" s="31"/>
      <c r="E243" s="31"/>
    </row>
    <row r="244" spans="1:12" x14ac:dyDescent="0.25">
      <c r="A244" s="194">
        <f t="shared" si="45"/>
        <v>800</v>
      </c>
      <c r="B244" s="195">
        <v>0.93</v>
      </c>
      <c r="D244" s="31"/>
      <c r="E244" s="31"/>
      <c r="I244" s="332" t="s">
        <v>133</v>
      </c>
      <c r="L244" s="332" t="s">
        <v>134</v>
      </c>
    </row>
    <row r="245" spans="1:12" ht="15.75" thickBot="1" x14ac:dyDescent="0.3">
      <c r="A245" s="194">
        <f t="shared" si="45"/>
        <v>900</v>
      </c>
      <c r="B245" s="195">
        <v>0.93</v>
      </c>
      <c r="D245" s="31"/>
      <c r="E245" s="31"/>
      <c r="H245">
        <v>0</v>
      </c>
      <c r="I245">
        <f>I246</f>
        <v>20.2</v>
      </c>
      <c r="K245">
        <v>0</v>
      </c>
      <c r="L245">
        <f>L246</f>
        <v>20.2</v>
      </c>
    </row>
    <row r="246" spans="1:12" x14ac:dyDescent="0.25">
      <c r="A246" s="194">
        <f t="shared" si="45"/>
        <v>1000</v>
      </c>
      <c r="B246" s="195">
        <v>0.93</v>
      </c>
      <c r="D246" s="31"/>
      <c r="E246" s="31"/>
      <c r="H246" s="90">
        <v>200</v>
      </c>
      <c r="I246" s="92">
        <f t="shared" ref="I246:I253" si="46">IF($D$184=0,J191,IF($D$184&lt;=20,K191,IF($D$184&lt;=40,L191,IF($D$184&lt;=60,M191,IF($D$184&lt;=80,N191,IF($D$184&lt;=100,O191))))))</f>
        <v>20.2</v>
      </c>
      <c r="J246" s="152"/>
      <c r="K246" s="90">
        <v>200</v>
      </c>
      <c r="L246" s="92">
        <f t="shared" ref="L246:L253" si="47">IF($D$185=0,J214,IF($D$185&lt;=20,K214,IF($D$185&lt;=40,L214,IF($D$185&lt;=60,M214,IF($D$185&lt;=80,N214,IF($D$185&lt;=100,O214))))))</f>
        <v>20.2</v>
      </c>
    </row>
    <row r="247" spans="1:12" x14ac:dyDescent="0.25">
      <c r="A247" s="194">
        <f t="shared" si="45"/>
        <v>1100</v>
      </c>
      <c r="B247" s="195">
        <v>0.94</v>
      </c>
      <c r="D247" s="31"/>
      <c r="E247" s="31"/>
      <c r="H247" s="94">
        <v>400</v>
      </c>
      <c r="I247" s="96">
        <f t="shared" si="46"/>
        <v>22.7</v>
      </c>
      <c r="J247" s="108"/>
      <c r="K247" s="94">
        <v>400</v>
      </c>
      <c r="L247" s="96">
        <f t="shared" si="47"/>
        <v>22.7</v>
      </c>
    </row>
    <row r="248" spans="1:12" x14ac:dyDescent="0.25">
      <c r="A248" s="194">
        <f t="shared" si="45"/>
        <v>1200</v>
      </c>
      <c r="B248" s="195">
        <v>0.94</v>
      </c>
      <c r="H248" s="94">
        <v>600</v>
      </c>
      <c r="I248" s="96">
        <f t="shared" si="46"/>
        <v>18.7</v>
      </c>
      <c r="J248" s="152"/>
      <c r="K248" s="94">
        <v>600</v>
      </c>
      <c r="L248" s="96">
        <f t="shared" si="47"/>
        <v>18.7</v>
      </c>
    </row>
    <row r="249" spans="1:12" x14ac:dyDescent="0.25">
      <c r="A249" s="159">
        <f t="shared" si="45"/>
        <v>1300</v>
      </c>
      <c r="B249" s="197">
        <v>0.94</v>
      </c>
      <c r="H249" s="94">
        <v>800</v>
      </c>
      <c r="I249" s="96">
        <f t="shared" si="46"/>
        <v>14.1</v>
      </c>
      <c r="J249" s="108"/>
      <c r="K249" s="94">
        <v>800</v>
      </c>
      <c r="L249" s="96">
        <f t="shared" si="47"/>
        <v>14.1</v>
      </c>
    </row>
    <row r="250" spans="1:12" x14ac:dyDescent="0.25">
      <c r="A250" s="159">
        <f t="shared" si="45"/>
        <v>1400</v>
      </c>
      <c r="B250" s="197">
        <v>0.94</v>
      </c>
      <c r="H250" s="94">
        <v>1400</v>
      </c>
      <c r="I250" s="96">
        <f t="shared" si="46"/>
        <v>6.7</v>
      </c>
      <c r="J250" s="108"/>
      <c r="K250" s="94">
        <v>1400</v>
      </c>
      <c r="L250" s="96">
        <f t="shared" si="47"/>
        <v>6.7</v>
      </c>
    </row>
    <row r="251" spans="1:12" x14ac:dyDescent="0.25">
      <c r="A251" s="159">
        <f t="shared" si="45"/>
        <v>1500</v>
      </c>
      <c r="B251" s="197">
        <v>0.95</v>
      </c>
      <c r="H251" s="94">
        <v>2000</v>
      </c>
      <c r="I251" s="96">
        <f t="shared" si="46"/>
        <v>3.7</v>
      </c>
      <c r="J251" s="108"/>
      <c r="K251" s="94">
        <v>2000</v>
      </c>
      <c r="L251" s="96">
        <f t="shared" si="47"/>
        <v>3.7</v>
      </c>
    </row>
    <row r="252" spans="1:12" x14ac:dyDescent="0.25">
      <c r="A252" s="159">
        <f t="shared" si="45"/>
        <v>1600</v>
      </c>
      <c r="B252" s="197">
        <v>0.95</v>
      </c>
      <c r="H252" s="94">
        <v>2600</v>
      </c>
      <c r="I252" s="96">
        <f t="shared" si="46"/>
        <v>2</v>
      </c>
      <c r="J252" s="108"/>
      <c r="K252" s="94">
        <v>2600</v>
      </c>
      <c r="L252" s="96">
        <f t="shared" si="47"/>
        <v>2</v>
      </c>
    </row>
    <row r="253" spans="1:12" ht="15.75" thickBot="1" x14ac:dyDescent="0.3">
      <c r="A253" s="159">
        <f t="shared" si="45"/>
        <v>1700</v>
      </c>
      <c r="B253" s="197">
        <v>0.95</v>
      </c>
      <c r="H253" s="98">
        <v>3200</v>
      </c>
      <c r="I253" s="100">
        <f t="shared" si="46"/>
        <v>1.1000000000000001</v>
      </c>
      <c r="J253" s="108"/>
      <c r="K253" s="98">
        <v>3200</v>
      </c>
      <c r="L253" s="100">
        <f t="shared" si="47"/>
        <v>1.1000000000000001</v>
      </c>
    </row>
    <row r="254" spans="1:12" x14ac:dyDescent="0.25">
      <c r="A254" s="159">
        <f t="shared" si="45"/>
        <v>1800</v>
      </c>
      <c r="B254" s="197">
        <v>0.95</v>
      </c>
    </row>
    <row r="255" spans="1:12" ht="15.75" thickBot="1" x14ac:dyDescent="0.3">
      <c r="A255" s="160">
        <f t="shared" si="45"/>
        <v>1900</v>
      </c>
      <c r="B255" s="198">
        <v>0.96</v>
      </c>
    </row>
    <row r="257" spans="1:25" x14ac:dyDescent="0.25">
      <c r="A257" t="s">
        <v>154</v>
      </c>
    </row>
    <row r="258" spans="1:25" x14ac:dyDescent="0.25">
      <c r="A258" s="125" t="s">
        <v>107</v>
      </c>
      <c r="B258" s="154" t="s">
        <v>18</v>
      </c>
      <c r="C258" s="154" t="s">
        <v>129</v>
      </c>
      <c r="D258" s="151" t="s">
        <v>125</v>
      </c>
      <c r="E258" s="151" t="s">
        <v>128</v>
      </c>
      <c r="F258" s="151" t="s">
        <v>122</v>
      </c>
      <c r="G258" s="525" t="s">
        <v>138</v>
      </c>
      <c r="H258" s="526" t="s">
        <v>507</v>
      </c>
      <c r="I258" s="526" t="s">
        <v>482</v>
      </c>
      <c r="J258" s="526" t="s">
        <v>508</v>
      </c>
      <c r="K258" s="526" t="s">
        <v>509</v>
      </c>
      <c r="L258" s="526" t="s">
        <v>510</v>
      </c>
      <c r="M258" s="526" t="s">
        <v>515</v>
      </c>
      <c r="N258" s="526" t="s">
        <v>512</v>
      </c>
      <c r="O258" s="507" t="s">
        <v>513</v>
      </c>
      <c r="P258" s="500" t="s">
        <v>150</v>
      </c>
      <c r="Q258" s="500" t="s">
        <v>160</v>
      </c>
      <c r="R258" s="500" t="s">
        <v>158</v>
      </c>
      <c r="S258" s="500" t="s">
        <v>147</v>
      </c>
      <c r="T258" s="151" t="s">
        <v>159</v>
      </c>
      <c r="U258" s="44" t="s">
        <v>155</v>
      </c>
      <c r="V258" s="44" t="s">
        <v>156</v>
      </c>
      <c r="W258" s="44" t="s">
        <v>157</v>
      </c>
      <c r="X258" s="500" t="s">
        <v>153</v>
      </c>
    </row>
    <row r="259" spans="1:25" x14ac:dyDescent="0.25">
      <c r="A259" s="69">
        <f t="shared" ref="A259:A289" si="48">J3/12</f>
        <v>375</v>
      </c>
      <c r="B259" s="107">
        <v>0</v>
      </c>
      <c r="C259" s="107">
        <f t="shared" ref="C259:C289" si="49">IF(A259&lt;=100,$I$153,IF(AND(A259&gt;100,A259&lt;=200),$I$154, IF(AND(A259&gt;200,A259&lt;=300),$I$155,IF(AND(A259&gt;300,A259&lt;=400),$I$156,IF(AND(A259&gt;400,A259&lt;=500),$I$157,IF(AND(A259&gt;500,A259&lt;=600),$I$158,IF(AND(A259&gt;600,A259&lt;=700),$I$159,IF(AND(A259&gt;700,A259&lt;=800),$I$160, IF(A259&gt;800,$I$161)))))))))</f>
        <v>1.3</v>
      </c>
      <c r="D259" s="35">
        <f t="shared" ref="D259:D291" si="50">$I$162</f>
        <v>1</v>
      </c>
      <c r="E259" s="203">
        <f>1/(1+$H$148*(C259-1)+$H$149*(D259-1))</f>
        <v>0.9900499975248751</v>
      </c>
      <c r="F259" s="107">
        <f t="shared" ref="F259:F289" si="51">IF(A259&lt;=100,$H$168,IF(AND(A259&gt;100,A259&lt;=200),$H$169, IF(AND(A259&gt;200,A259&lt;=300),$H$170,IF(AND(A259&gt;300,A259&lt;=400),$H$171,IF(AND(A259&gt;400,A259&lt;=500),$H$172,IF(AND(A259&gt;500,A259&lt;=600),$H$173,IF(AND(A259&gt;600,A259&lt;=700),$H$174,IF(AND(A259&gt;700,A259&lt;=800),$H$175, IF(A259&gt;800,$H$176)))))))))</f>
        <v>1</v>
      </c>
      <c r="G259" s="527">
        <f t="shared" ref="G259:G289" si="52">IF(A259&lt;=200,$I$246,IF(AND(A259&gt;200,A259&lt;=400),$I$247,IF(AND(A259&gt;400,A259&lt;=600),$I$248,IF(AND(A259&gt;600,A259&lt;=800),$I$249,IF(AND(A259&gt;800,A259&lt;=1400),$I$250,IF(AND(A259&gt;1400,A259&lt;=2000),$I$251,IF(AND(A259&gt;2000,A259&lt;=2600),$I$252,IF(A259&gt;2600,$I$253))))))))</f>
        <v>22.7</v>
      </c>
      <c r="H259" s="527">
        <f>IF(A259&lt;=200,$I$245,IF(AND(A259&gt;200,A259&lt;=400),$I$246,IF(AND(A259&gt;400,A259&lt;=600),$I$247,IF(AND(A259&gt;600,A259&lt;=800),$I$248,IF(AND(A259&gt;800,A259&lt;=1400),$I$249,IF(AND(A259&gt;1400,A259&lt;=2000),$I$250,IF(AND(A259&gt;2000,A259&lt;=2600),$I$251,IF(A259&gt;2600,$I$252))))))))</f>
        <v>20.2</v>
      </c>
      <c r="I259" s="528">
        <f t="shared" ref="I259:I289" si="53">IF(A259&lt;=200,$H$246,IF(AND(A259&gt;200,A259&lt;=400),$H$247,IF(AND(A259&gt;400,A259&lt;=600),$H$248,IF(AND(A259&gt;600,A259&lt;=800),$H$249,IF(AND(A259&gt;800,A259&lt;=1400),$H$250,IF(AND(A259&gt;1400,A259&lt;=2000),$H$251,IF(AND(A259&gt;2000,A259&lt;=2600),$H$252,IF(A259&gt;2600,$H$253))))))))</f>
        <v>400</v>
      </c>
      <c r="J259" s="528">
        <f>IF(A259&lt;=200,$H$245,IF(AND(A259&gt;200,A259&lt;=400),$H$246,IF(AND(A259&gt;400,A259&lt;=600),$H$247,IF(AND(A259&gt;600,A259&lt;=800),$H$248,IF(AND(A259&gt;800,A259&lt;=1400),$H$249,IF(AND(A259&gt;1400,A259&lt;=2000),$H$250,IF(AND(A259&gt;2000,A259&lt;=2600),$H$251,IF(A259&gt;2600,$H$252))))))))</f>
        <v>200</v>
      </c>
      <c r="K259" s="529">
        <f t="shared" ref="K259:K289" si="54">ABS(H259-G259)</f>
        <v>2.5</v>
      </c>
      <c r="L259" s="530">
        <f>I259-J259</f>
        <v>200</v>
      </c>
      <c r="M259" s="529">
        <f t="shared" ref="M259:M289" si="55">((A259-J259)*K259)/L259</f>
        <v>2.1875</v>
      </c>
      <c r="N259" s="528">
        <f t="shared" ref="N259:N289" si="56">IF(A259&lt;H247,H259,G259)</f>
        <v>20.2</v>
      </c>
      <c r="O259" s="204">
        <f t="shared" ref="O259:O289" si="57">IF(H259&lt;G259,H259+M259,H259-M259)</f>
        <v>22.387499999999999</v>
      </c>
      <c r="P259" s="200">
        <f t="shared" ref="P259:P289" si="58">A259/(S259*F259*E259)</f>
        <v>394.55078124999994</v>
      </c>
      <c r="Q259" s="204">
        <f>1-EXP(-(0.000879*P259))</f>
        <v>0.29306046262313379</v>
      </c>
      <c r="R259" s="204">
        <f t="shared" ref="R259:R289" si="59">(Q259)+(O259/100)</f>
        <v>0.51693546262313372</v>
      </c>
      <c r="S259" s="95">
        <f>'DATOS DE ENTRADA'!C51</f>
        <v>0.96</v>
      </c>
      <c r="T259" s="204">
        <f>X259/$H$121</f>
        <v>0.9437825851911551</v>
      </c>
      <c r="U259" s="202" t="str">
        <f t="shared" ref="U259:U289" si="60">IF(R259&lt;=0.35,$D$238,IF(AND(R259&gt;0.35,R259&lt;=0.5),$D$239,IF(AND(R259&gt;0.5,R259&lt;=0.65),$D$240,IF(AND(R259&gt;0.65,R259&lt;=0.8),$D$241,IF(R259&gt;0.8,$D$242)))))</f>
        <v>C</v>
      </c>
      <c r="V259" s="202" t="str">
        <f t="shared" ref="V259:V289" si="61">IF(R259&lt;=0.4,$D$238,IF(AND(R259&gt;0.4,R259&lt;=0.55),$D$239,IF(AND(R259&gt;0.55,R259&lt;=0.7),$D$240,IF(AND(R259&gt;0.7,R259&lt;=0.85),$D$241,IF(R259&gt;0.85,$D$242)))))</f>
        <v>B</v>
      </c>
      <c r="W259" s="202" t="str">
        <f t="shared" ref="W259:W289" si="62">IF(T259&gt;0.917,$D$238,IF(AND(T259&lt;0.917,T259&gt;=0.833),$D$239,IF(AND(T259&lt;0.833,T259&gt;=0.75),$D$240,IF(AND(T259&lt;0.75,T259&gt;=0.667),$D$241,IF(T259&lt;=0.667,$D$242)))))</f>
        <v>A</v>
      </c>
      <c r="X259" s="200">
        <f t="shared" ref="X259:X289" si="63">$H$121-(0.0125*P259)-(G259/100)</f>
        <v>86.607781901041662</v>
      </c>
      <c r="Y259">
        <v>0</v>
      </c>
    </row>
    <row r="260" spans="1:25" x14ac:dyDescent="0.25">
      <c r="A260" s="69">
        <f t="shared" si="48"/>
        <v>386.25</v>
      </c>
      <c r="B260" s="107">
        <v>1</v>
      </c>
      <c r="C260" s="107">
        <f t="shared" si="49"/>
        <v>1.3</v>
      </c>
      <c r="D260" s="35">
        <f t="shared" si="50"/>
        <v>1</v>
      </c>
      <c r="E260" s="203">
        <f t="shared" ref="E260:E289" si="64">1/(1+$H$148*(C260-1)+$H$149*(D260-1))</f>
        <v>0.9900499975248751</v>
      </c>
      <c r="F260" s="107">
        <f t="shared" si="51"/>
        <v>1</v>
      </c>
      <c r="G260" s="527">
        <f t="shared" si="52"/>
        <v>22.7</v>
      </c>
      <c r="H260" s="527">
        <f t="shared" ref="H260:H289" si="65">IF(B260&lt;=200,$I$245,IF(AND(B260&gt;200,B260&lt;=400),$I$246,IF(AND(B260&gt;400,B260&lt;=600),$I$247,IF(AND(B260&gt;600,B260&lt;=800),$I$248,IF(AND(B260&gt;800,B260&lt;=1400),$I$249,IF(AND(B260&gt;1400,B260&lt;=2000),$I$250,IF(AND(B260&gt;2000,B260&lt;=2600),$I$251,IF(B260&gt;2600,$I$252))))))))</f>
        <v>20.2</v>
      </c>
      <c r="I260" s="528">
        <f t="shared" si="53"/>
        <v>400</v>
      </c>
      <c r="J260" s="528">
        <f t="shared" ref="J260:J289" si="66">IF(A260&lt;=200,$H$244,IF(AND(A260&gt;200,A260&lt;=400),$H$246,IF(AND(A260&gt;400,A260&lt;=600),$H$247,IF(AND(A260&gt;600,A260&lt;=800),$H$248,IF(AND(A260&gt;800,A260&lt;=1400),$H$249,IF(AND(A260&gt;1400,A260&lt;=2000),$H$250,IF(AND(A260&gt;2000,A260&lt;=2600),$H$251,IF(A260&gt;2600,$H$252))))))))</f>
        <v>200</v>
      </c>
      <c r="K260" s="529">
        <f t="shared" si="54"/>
        <v>2.5</v>
      </c>
      <c r="L260" s="530">
        <f t="shared" ref="L260:L289" si="67">I260-J260</f>
        <v>200</v>
      </c>
      <c r="M260" s="529">
        <f t="shared" si="55"/>
        <v>2.328125</v>
      </c>
      <c r="N260" s="528">
        <f t="shared" si="56"/>
        <v>20.2</v>
      </c>
      <c r="O260" s="204">
        <f t="shared" si="57"/>
        <v>22.528124999999999</v>
      </c>
      <c r="P260" s="200">
        <f t="shared" si="58"/>
        <v>406.38730468749998</v>
      </c>
      <c r="Q260" s="204">
        <f t="shared" ref="Q260:Q289" si="68">1-EXP(-0.000879*P260)</f>
        <v>0.30037754596551325</v>
      </c>
      <c r="R260" s="204">
        <f t="shared" si="59"/>
        <v>0.52565879596551324</v>
      </c>
      <c r="S260" s="95">
        <f>S259</f>
        <v>0.96</v>
      </c>
      <c r="T260" s="204">
        <f t="shared" ref="T260:T289" si="69">X260/$H$121</f>
        <v>0.94217027269966858</v>
      </c>
      <c r="U260" s="202" t="str">
        <f t="shared" si="60"/>
        <v>C</v>
      </c>
      <c r="V260" s="202" t="str">
        <f t="shared" si="61"/>
        <v>B</v>
      </c>
      <c r="W260" s="202" t="str">
        <f t="shared" si="62"/>
        <v>A</v>
      </c>
      <c r="X260" s="200">
        <f t="shared" si="63"/>
        <v>86.459825358072919</v>
      </c>
      <c r="Y260">
        <v>1</v>
      </c>
    </row>
    <row r="261" spans="1:25" x14ac:dyDescent="0.25">
      <c r="A261" s="69">
        <f t="shared" si="48"/>
        <v>397.83749999999986</v>
      </c>
      <c r="B261" s="107">
        <v>2</v>
      </c>
      <c r="C261" s="107">
        <f t="shared" si="49"/>
        <v>1.3</v>
      </c>
      <c r="D261" s="35">
        <f t="shared" si="50"/>
        <v>1</v>
      </c>
      <c r="E261" s="203">
        <f t="shared" si="64"/>
        <v>0.9900499975248751</v>
      </c>
      <c r="F261" s="107">
        <f t="shared" si="51"/>
        <v>1</v>
      </c>
      <c r="G261" s="527">
        <f t="shared" si="52"/>
        <v>22.7</v>
      </c>
      <c r="H261" s="527">
        <f t="shared" si="65"/>
        <v>20.2</v>
      </c>
      <c r="I261" s="528">
        <f t="shared" si="53"/>
        <v>400</v>
      </c>
      <c r="J261" s="528">
        <f t="shared" si="66"/>
        <v>200</v>
      </c>
      <c r="K261" s="529">
        <f t="shared" si="54"/>
        <v>2.5</v>
      </c>
      <c r="L261" s="530">
        <f t="shared" si="67"/>
        <v>200</v>
      </c>
      <c r="M261" s="529">
        <f t="shared" si="55"/>
        <v>2.4729687499999984</v>
      </c>
      <c r="N261" s="528">
        <f t="shared" si="56"/>
        <v>20.2</v>
      </c>
      <c r="O261" s="204">
        <f t="shared" si="57"/>
        <v>22.672968749999999</v>
      </c>
      <c r="P261" s="200">
        <f t="shared" si="58"/>
        <v>418.5789238281248</v>
      </c>
      <c r="Q261" s="204">
        <f t="shared" si="68"/>
        <v>0.30783497339641552</v>
      </c>
      <c r="R261" s="204">
        <f t="shared" si="59"/>
        <v>0.53456466089641552</v>
      </c>
      <c r="S261" s="95">
        <f t="shared" ref="S261:S291" si="70">S260</f>
        <v>0.96</v>
      </c>
      <c r="T261" s="204">
        <f t="shared" si="69"/>
        <v>0.94050959083343744</v>
      </c>
      <c r="U261" s="202" t="str">
        <f t="shared" si="60"/>
        <v>C</v>
      </c>
      <c r="V261" s="202" t="str">
        <f t="shared" si="61"/>
        <v>B</v>
      </c>
      <c r="W261" s="202" t="str">
        <f t="shared" si="62"/>
        <v>A</v>
      </c>
      <c r="X261" s="200">
        <f t="shared" si="63"/>
        <v>86.307430118815105</v>
      </c>
      <c r="Y261">
        <v>2</v>
      </c>
    </row>
    <row r="262" spans="1:25" x14ac:dyDescent="0.25">
      <c r="A262" s="69">
        <f t="shared" si="48"/>
        <v>409.77262500000001</v>
      </c>
      <c r="B262" s="107">
        <v>3</v>
      </c>
      <c r="C262" s="107">
        <f t="shared" si="49"/>
        <v>1.2</v>
      </c>
      <c r="D262" s="35">
        <f t="shared" si="50"/>
        <v>1</v>
      </c>
      <c r="E262" s="203">
        <f t="shared" si="64"/>
        <v>0.99334459123870078</v>
      </c>
      <c r="F262" s="107">
        <f t="shared" si="51"/>
        <v>1</v>
      </c>
      <c r="G262" s="527">
        <f t="shared" si="52"/>
        <v>18.7</v>
      </c>
      <c r="H262" s="527">
        <f t="shared" si="65"/>
        <v>20.2</v>
      </c>
      <c r="I262" s="528">
        <f t="shared" si="53"/>
        <v>600</v>
      </c>
      <c r="J262" s="528">
        <f t="shared" si="66"/>
        <v>400</v>
      </c>
      <c r="K262" s="529">
        <f t="shared" si="54"/>
        <v>1.5</v>
      </c>
      <c r="L262" s="530">
        <f t="shared" si="67"/>
        <v>200</v>
      </c>
      <c r="M262" s="529">
        <f t="shared" si="55"/>
        <v>7.3294687500000039E-2</v>
      </c>
      <c r="N262" s="528">
        <f t="shared" si="56"/>
        <v>20.2</v>
      </c>
      <c r="O262" s="204">
        <f t="shared" si="57"/>
        <v>20.1267053125</v>
      </c>
      <c r="P262" s="200">
        <f t="shared" si="58"/>
        <v>429.70635582031247</v>
      </c>
      <c r="Q262" s="204">
        <f t="shared" si="68"/>
        <v>0.31457204691562335</v>
      </c>
      <c r="R262" s="204">
        <f t="shared" si="59"/>
        <v>0.51583910004062339</v>
      </c>
      <c r="S262" s="95">
        <f t="shared" si="70"/>
        <v>0.96</v>
      </c>
      <c r="T262" s="204">
        <f t="shared" si="69"/>
        <v>0.93942975538226769</v>
      </c>
      <c r="U262" s="202" t="str">
        <f t="shared" si="60"/>
        <v>C</v>
      </c>
      <c r="V262" s="202" t="str">
        <f t="shared" si="61"/>
        <v>B</v>
      </c>
      <c r="W262" s="202" t="str">
        <f t="shared" si="62"/>
        <v>A</v>
      </c>
      <c r="X262" s="200">
        <f t="shared" si="63"/>
        <v>86.20833721891276</v>
      </c>
      <c r="Y262">
        <v>3</v>
      </c>
    </row>
    <row r="263" spans="1:25" x14ac:dyDescent="0.25">
      <c r="A263" s="69">
        <f t="shared" si="48"/>
        <v>422.06580375000004</v>
      </c>
      <c r="B263" s="107">
        <v>4</v>
      </c>
      <c r="C263" s="107">
        <f t="shared" si="49"/>
        <v>1.2</v>
      </c>
      <c r="D263" s="35">
        <f t="shared" si="50"/>
        <v>1</v>
      </c>
      <c r="E263" s="203">
        <f t="shared" si="64"/>
        <v>0.99334459123870078</v>
      </c>
      <c r="F263" s="107">
        <f t="shared" si="51"/>
        <v>1</v>
      </c>
      <c r="G263" s="527">
        <f t="shared" si="52"/>
        <v>18.7</v>
      </c>
      <c r="H263" s="527">
        <f t="shared" si="65"/>
        <v>20.2</v>
      </c>
      <c r="I263" s="528">
        <f t="shared" si="53"/>
        <v>600</v>
      </c>
      <c r="J263" s="528">
        <f t="shared" si="66"/>
        <v>400</v>
      </c>
      <c r="K263" s="529">
        <f t="shared" si="54"/>
        <v>1.5</v>
      </c>
      <c r="L263" s="530">
        <f t="shared" si="67"/>
        <v>200</v>
      </c>
      <c r="M263" s="529">
        <f t="shared" si="55"/>
        <v>0.16549352812500032</v>
      </c>
      <c r="N263" s="528">
        <f t="shared" si="56"/>
        <v>20.2</v>
      </c>
      <c r="O263" s="204">
        <f t="shared" si="57"/>
        <v>20.034506471874998</v>
      </c>
      <c r="P263" s="200">
        <f t="shared" si="58"/>
        <v>442.59754649492191</v>
      </c>
      <c r="Q263" s="204">
        <f t="shared" si="68"/>
        <v>0.32229503686550698</v>
      </c>
      <c r="R263" s="204">
        <f t="shared" si="59"/>
        <v>0.522640101584257</v>
      </c>
      <c r="S263" s="95">
        <f t="shared" si="70"/>
        <v>0.96</v>
      </c>
      <c r="T263" s="204">
        <f>X263/$H$121</f>
        <v>0.93767378135285306</v>
      </c>
      <c r="U263" s="202" t="str">
        <f t="shared" si="60"/>
        <v>C</v>
      </c>
      <c r="V263" s="202" t="str">
        <f t="shared" si="61"/>
        <v>B</v>
      </c>
      <c r="W263" s="202" t="str">
        <f t="shared" si="62"/>
        <v>A</v>
      </c>
      <c r="X263" s="200">
        <f t="shared" si="63"/>
        <v>86.047197335480149</v>
      </c>
      <c r="Y263">
        <v>4</v>
      </c>
    </row>
    <row r="264" spans="1:25" x14ac:dyDescent="0.25">
      <c r="A264" s="69">
        <f t="shared" si="48"/>
        <v>434.72777786249998</v>
      </c>
      <c r="B264" s="107">
        <v>5</v>
      </c>
      <c r="C264" s="107">
        <f t="shared" si="49"/>
        <v>1.2</v>
      </c>
      <c r="D264" s="35">
        <f t="shared" si="50"/>
        <v>1</v>
      </c>
      <c r="E264" s="203">
        <f t="shared" si="64"/>
        <v>0.99334459123870078</v>
      </c>
      <c r="F264" s="107">
        <f t="shared" si="51"/>
        <v>1</v>
      </c>
      <c r="G264" s="527">
        <f t="shared" si="52"/>
        <v>18.7</v>
      </c>
      <c r="H264" s="527">
        <f t="shared" si="65"/>
        <v>20.2</v>
      </c>
      <c r="I264" s="528">
        <f t="shared" si="53"/>
        <v>600</v>
      </c>
      <c r="J264" s="528">
        <f t="shared" si="66"/>
        <v>400</v>
      </c>
      <c r="K264" s="529">
        <f t="shared" si="54"/>
        <v>1.5</v>
      </c>
      <c r="L264" s="530">
        <f t="shared" si="67"/>
        <v>200</v>
      </c>
      <c r="M264" s="529">
        <f t="shared" si="55"/>
        <v>0.26045833396874984</v>
      </c>
      <c r="N264" s="528">
        <f t="shared" si="56"/>
        <v>20.2</v>
      </c>
      <c r="O264" s="204">
        <f t="shared" si="57"/>
        <v>19.93954166603125</v>
      </c>
      <c r="P264" s="200">
        <f t="shared" si="58"/>
        <v>455.87547288976947</v>
      </c>
      <c r="Q264" s="204">
        <f t="shared" si="68"/>
        <v>0.33015875381788562</v>
      </c>
      <c r="R264" s="204">
        <f t="shared" si="59"/>
        <v>0.52955417047819808</v>
      </c>
      <c r="S264" s="95">
        <f t="shared" si="70"/>
        <v>0.96</v>
      </c>
      <c r="T264" s="204">
        <f t="shared" si="69"/>
        <v>0.93586512810255595</v>
      </c>
      <c r="U264" s="202" t="str">
        <f t="shared" si="60"/>
        <v>C</v>
      </c>
      <c r="V264" s="202" t="str">
        <f t="shared" si="61"/>
        <v>B</v>
      </c>
      <c r="W264" s="202" t="str">
        <f t="shared" si="62"/>
        <v>A</v>
      </c>
      <c r="X264" s="200">
        <f t="shared" si="63"/>
        <v>85.881223255544555</v>
      </c>
      <c r="Y264">
        <v>5</v>
      </c>
    </row>
    <row r="265" spans="1:25" x14ac:dyDescent="0.25">
      <c r="A265" s="69">
        <f t="shared" si="48"/>
        <v>447.76961119837489</v>
      </c>
      <c r="B265" s="107">
        <v>6</v>
      </c>
      <c r="C265" s="107">
        <f t="shared" si="49"/>
        <v>1.2</v>
      </c>
      <c r="D265" s="35">
        <f t="shared" si="50"/>
        <v>1</v>
      </c>
      <c r="E265" s="203">
        <f t="shared" si="64"/>
        <v>0.99334459123870078</v>
      </c>
      <c r="F265" s="107">
        <f t="shared" si="51"/>
        <v>1</v>
      </c>
      <c r="G265" s="527">
        <f t="shared" si="52"/>
        <v>18.7</v>
      </c>
      <c r="H265" s="527">
        <f t="shared" si="65"/>
        <v>20.2</v>
      </c>
      <c r="I265" s="528">
        <f t="shared" si="53"/>
        <v>600</v>
      </c>
      <c r="J265" s="528">
        <f t="shared" si="66"/>
        <v>400</v>
      </c>
      <c r="K265" s="529">
        <f t="shared" si="54"/>
        <v>1.5</v>
      </c>
      <c r="L265" s="530">
        <f t="shared" si="67"/>
        <v>200</v>
      </c>
      <c r="M265" s="529">
        <f t="shared" si="55"/>
        <v>0.35827208398781168</v>
      </c>
      <c r="N265" s="528">
        <f t="shared" si="56"/>
        <v>20.2</v>
      </c>
      <c r="O265" s="204">
        <f t="shared" si="57"/>
        <v>19.841727916012189</v>
      </c>
      <c r="P265" s="200">
        <f t="shared" si="58"/>
        <v>469.55173707646247</v>
      </c>
      <c r="Q265" s="204">
        <f t="shared" si="68"/>
        <v>0.33816299997493504</v>
      </c>
      <c r="R265" s="204">
        <f t="shared" si="59"/>
        <v>0.5365802791350569</v>
      </c>
      <c r="S265" s="95">
        <f t="shared" si="70"/>
        <v>0.96</v>
      </c>
      <c r="T265" s="204">
        <f t="shared" si="69"/>
        <v>0.93400221525474991</v>
      </c>
      <c r="U265" s="202" t="str">
        <f t="shared" si="60"/>
        <v>C</v>
      </c>
      <c r="V265" s="202" t="str">
        <f t="shared" si="61"/>
        <v>B</v>
      </c>
      <c r="W265" s="202" t="str">
        <f t="shared" si="62"/>
        <v>A</v>
      </c>
      <c r="X265" s="200">
        <f t="shared" si="63"/>
        <v>85.710269953210883</v>
      </c>
      <c r="Y265">
        <v>6</v>
      </c>
    </row>
    <row r="266" spans="1:25" x14ac:dyDescent="0.25">
      <c r="A266" s="69">
        <f t="shared" si="48"/>
        <v>461.20269953432626</v>
      </c>
      <c r="B266" s="107">
        <v>7</v>
      </c>
      <c r="C266" s="107">
        <f t="shared" si="49"/>
        <v>1.2</v>
      </c>
      <c r="D266" s="35">
        <f t="shared" si="50"/>
        <v>1</v>
      </c>
      <c r="E266" s="203">
        <f t="shared" si="64"/>
        <v>0.99334459123870078</v>
      </c>
      <c r="F266" s="107">
        <f t="shared" si="51"/>
        <v>1</v>
      </c>
      <c r="G266" s="527">
        <f t="shared" si="52"/>
        <v>18.7</v>
      </c>
      <c r="H266" s="527">
        <f t="shared" si="65"/>
        <v>20.2</v>
      </c>
      <c r="I266" s="528">
        <f t="shared" si="53"/>
        <v>600</v>
      </c>
      <c r="J266" s="528">
        <f t="shared" si="66"/>
        <v>400</v>
      </c>
      <c r="K266" s="529">
        <f t="shared" si="54"/>
        <v>1.5</v>
      </c>
      <c r="L266" s="530">
        <f t="shared" si="67"/>
        <v>200</v>
      </c>
      <c r="M266" s="529">
        <f t="shared" si="55"/>
        <v>0.45902024650744694</v>
      </c>
      <c r="N266" s="528">
        <f t="shared" si="56"/>
        <v>18.7</v>
      </c>
      <c r="O266" s="204">
        <f t="shared" si="57"/>
        <v>19.740979753492553</v>
      </c>
      <c r="P266" s="200">
        <f t="shared" si="58"/>
        <v>483.63828918875646</v>
      </c>
      <c r="Q266" s="204">
        <f t="shared" si="68"/>
        <v>0.34630739188894211</v>
      </c>
      <c r="R266" s="204">
        <f t="shared" si="59"/>
        <v>0.5437171894238676</v>
      </c>
      <c r="S266" s="95">
        <f>S265</f>
        <v>0.96</v>
      </c>
      <c r="T266" s="204">
        <f t="shared" si="69"/>
        <v>0.93208341502150971</v>
      </c>
      <c r="U266" s="202" t="str">
        <f t="shared" si="60"/>
        <v>C</v>
      </c>
      <c r="V266" s="202" t="str">
        <f t="shared" si="61"/>
        <v>B</v>
      </c>
      <c r="W266" s="202" t="str">
        <f t="shared" si="62"/>
        <v>A</v>
      </c>
      <c r="X266" s="200">
        <f t="shared" si="63"/>
        <v>85.534188051807206</v>
      </c>
      <c r="Y266">
        <v>7</v>
      </c>
    </row>
    <row r="267" spans="1:25" x14ac:dyDescent="0.25">
      <c r="A267" s="69">
        <f t="shared" si="48"/>
        <v>475.03878052035606</v>
      </c>
      <c r="B267" s="107">
        <v>8</v>
      </c>
      <c r="C267" s="107">
        <f t="shared" si="49"/>
        <v>1.2</v>
      </c>
      <c r="D267" s="35">
        <f t="shared" si="50"/>
        <v>1</v>
      </c>
      <c r="E267" s="203">
        <f t="shared" si="64"/>
        <v>0.99334459123870078</v>
      </c>
      <c r="F267" s="107">
        <f t="shared" si="51"/>
        <v>1</v>
      </c>
      <c r="G267" s="527">
        <f t="shared" si="52"/>
        <v>18.7</v>
      </c>
      <c r="H267" s="527">
        <f t="shared" si="65"/>
        <v>20.2</v>
      </c>
      <c r="I267" s="528">
        <f t="shared" si="53"/>
        <v>600</v>
      </c>
      <c r="J267" s="528">
        <f t="shared" si="66"/>
        <v>400</v>
      </c>
      <c r="K267" s="529">
        <f t="shared" si="54"/>
        <v>1.5</v>
      </c>
      <c r="L267" s="530">
        <f t="shared" si="67"/>
        <v>200</v>
      </c>
      <c r="M267" s="529">
        <f t="shared" si="55"/>
        <v>0.56279085390267047</v>
      </c>
      <c r="N267" s="528">
        <f t="shared" si="56"/>
        <v>18.7</v>
      </c>
      <c r="O267" s="204">
        <f t="shared" si="57"/>
        <v>19.63720914609733</v>
      </c>
      <c r="P267" s="200">
        <f t="shared" si="58"/>
        <v>498.1474378644192</v>
      </c>
      <c r="Q267" s="204">
        <f t="shared" si="68"/>
        <v>0.3545913506259144</v>
      </c>
      <c r="R267" s="204">
        <f t="shared" si="59"/>
        <v>0.55096344208688774</v>
      </c>
      <c r="S267" s="95">
        <f t="shared" si="70"/>
        <v>0.96</v>
      </c>
      <c r="T267" s="204">
        <f t="shared" si="69"/>
        <v>0.93010705078127243</v>
      </c>
      <c r="U267" s="202" t="str">
        <f t="shared" si="60"/>
        <v>C</v>
      </c>
      <c r="V267" s="202" t="str">
        <f t="shared" si="61"/>
        <v>C</v>
      </c>
      <c r="W267" s="202" t="str">
        <f t="shared" si="62"/>
        <v>A</v>
      </c>
      <c r="X267" s="200">
        <f t="shared" si="63"/>
        <v>85.352823693361429</v>
      </c>
      <c r="Y267">
        <v>8</v>
      </c>
    </row>
    <row r="268" spans="1:25" x14ac:dyDescent="0.25">
      <c r="A268" s="69">
        <f t="shared" si="48"/>
        <v>489.28994393596668</v>
      </c>
      <c r="B268" s="107">
        <v>9</v>
      </c>
      <c r="C268" s="107">
        <f t="shared" si="49"/>
        <v>1.2</v>
      </c>
      <c r="D268" s="35">
        <f t="shared" si="50"/>
        <v>1</v>
      </c>
      <c r="E268" s="203">
        <f t="shared" si="64"/>
        <v>0.99334459123870078</v>
      </c>
      <c r="F268" s="107">
        <f t="shared" si="51"/>
        <v>1</v>
      </c>
      <c r="G268" s="527">
        <f t="shared" si="52"/>
        <v>18.7</v>
      </c>
      <c r="H268" s="527">
        <f t="shared" si="65"/>
        <v>20.2</v>
      </c>
      <c r="I268" s="528">
        <f t="shared" si="53"/>
        <v>600</v>
      </c>
      <c r="J268" s="528">
        <f t="shared" si="66"/>
        <v>400</v>
      </c>
      <c r="K268" s="529">
        <f t="shared" si="54"/>
        <v>1.5</v>
      </c>
      <c r="L268" s="530">
        <f t="shared" si="67"/>
        <v>200</v>
      </c>
      <c r="M268" s="529">
        <f t="shared" si="55"/>
        <v>0.66967457951975007</v>
      </c>
      <c r="N268" s="528">
        <f t="shared" si="56"/>
        <v>18.7</v>
      </c>
      <c r="O268" s="204">
        <f t="shared" si="57"/>
        <v>19.530325420480249</v>
      </c>
      <c r="P268" s="200">
        <f t="shared" si="58"/>
        <v>513.09186100035174</v>
      </c>
      <c r="Q268" s="204">
        <f t="shared" si="68"/>
        <v>0.36301409181887367</v>
      </c>
      <c r="R268" s="204">
        <f t="shared" si="59"/>
        <v>0.55831734602367611</v>
      </c>
      <c r="S268" s="95">
        <f t="shared" si="70"/>
        <v>0.96</v>
      </c>
      <c r="T268" s="204">
        <f t="shared" si="69"/>
        <v>0.9280713956138279</v>
      </c>
      <c r="U268" s="202" t="str">
        <f t="shared" si="60"/>
        <v>C</v>
      </c>
      <c r="V268" s="202" t="str">
        <f t="shared" si="61"/>
        <v>C</v>
      </c>
      <c r="W268" s="202" t="str">
        <f t="shared" si="62"/>
        <v>A</v>
      </c>
      <c r="X268" s="200">
        <f t="shared" si="63"/>
        <v>85.166018404162273</v>
      </c>
      <c r="Y268">
        <v>9</v>
      </c>
    </row>
    <row r="269" spans="1:25" x14ac:dyDescent="0.25">
      <c r="A269" s="69">
        <f t="shared" si="48"/>
        <v>503.96864225404573</v>
      </c>
      <c r="B269" s="107">
        <v>10</v>
      </c>
      <c r="C269" s="107">
        <f t="shared" si="49"/>
        <v>1.1000000000000001</v>
      </c>
      <c r="D269" s="35">
        <f t="shared" si="50"/>
        <v>1</v>
      </c>
      <c r="E269" s="203">
        <f t="shared" si="64"/>
        <v>0.996661185030149</v>
      </c>
      <c r="F269" s="107">
        <f t="shared" si="51"/>
        <v>1</v>
      </c>
      <c r="G269" s="527">
        <f t="shared" si="52"/>
        <v>18.7</v>
      </c>
      <c r="H269" s="527">
        <f t="shared" si="65"/>
        <v>20.2</v>
      </c>
      <c r="I269" s="528">
        <f t="shared" si="53"/>
        <v>600</v>
      </c>
      <c r="J269" s="528">
        <f t="shared" si="66"/>
        <v>400</v>
      </c>
      <c r="K269" s="529">
        <f t="shared" si="54"/>
        <v>1.5</v>
      </c>
      <c r="L269" s="530">
        <f t="shared" si="67"/>
        <v>200</v>
      </c>
      <c r="M269" s="529">
        <f t="shared" si="55"/>
        <v>0.77976481690534305</v>
      </c>
      <c r="N269" s="528">
        <f t="shared" si="56"/>
        <v>18.7</v>
      </c>
      <c r="O269" s="204">
        <f t="shared" si="57"/>
        <v>19.420235183094658</v>
      </c>
      <c r="P269" s="200">
        <f t="shared" si="58"/>
        <v>526.72597625583001</v>
      </c>
      <c r="Q269" s="204">
        <f t="shared" si="68"/>
        <v>0.37060241612163403</v>
      </c>
      <c r="R269" s="204">
        <f t="shared" si="59"/>
        <v>0.56480476795258061</v>
      </c>
      <c r="S269" s="95">
        <f t="shared" si="70"/>
        <v>0.96</v>
      </c>
      <c r="T269" s="204">
        <f t="shared" si="69"/>
        <v>0.92621422408429488</v>
      </c>
      <c r="U269" s="202" t="str">
        <f t="shared" si="60"/>
        <v>C</v>
      </c>
      <c r="V269" s="202" t="str">
        <f t="shared" si="61"/>
        <v>C</v>
      </c>
      <c r="W269" s="202" t="str">
        <f t="shared" si="62"/>
        <v>A</v>
      </c>
      <c r="X269" s="200">
        <f t="shared" si="63"/>
        <v>84.995591963468797</v>
      </c>
      <c r="Y269">
        <v>10</v>
      </c>
    </row>
    <row r="270" spans="1:25" x14ac:dyDescent="0.25">
      <c r="A270" s="512">
        <f t="shared" si="48"/>
        <v>519.0877015216671</v>
      </c>
      <c r="B270" s="107">
        <v>11</v>
      </c>
      <c r="C270" s="107">
        <f t="shared" si="49"/>
        <v>1.1000000000000001</v>
      </c>
      <c r="D270" s="435">
        <f t="shared" si="50"/>
        <v>1</v>
      </c>
      <c r="E270" s="513">
        <f t="shared" si="64"/>
        <v>0.996661185030149</v>
      </c>
      <c r="F270" s="107">
        <f t="shared" si="51"/>
        <v>1</v>
      </c>
      <c r="G270" s="527">
        <f t="shared" si="52"/>
        <v>18.7</v>
      </c>
      <c r="H270" s="527">
        <f t="shared" si="65"/>
        <v>20.2</v>
      </c>
      <c r="I270" s="528">
        <f t="shared" si="53"/>
        <v>600</v>
      </c>
      <c r="J270" s="528">
        <f t="shared" si="66"/>
        <v>400</v>
      </c>
      <c r="K270" s="528">
        <f t="shared" si="54"/>
        <v>1.5</v>
      </c>
      <c r="L270" s="528">
        <f t="shared" si="67"/>
        <v>200</v>
      </c>
      <c r="M270" s="531">
        <f t="shared" si="55"/>
        <v>0.89315776141250325</v>
      </c>
      <c r="N270" s="528">
        <f t="shared" si="56"/>
        <v>20.2</v>
      </c>
      <c r="O270" s="204">
        <f t="shared" si="57"/>
        <v>19.306842238587496</v>
      </c>
      <c r="P270" s="200">
        <f t="shared" si="58"/>
        <v>542.5277555435049</v>
      </c>
      <c r="Q270" s="204">
        <f t="shared" si="68"/>
        <v>0.3792841667094824</v>
      </c>
      <c r="R270" s="204">
        <f t="shared" si="59"/>
        <v>0.57235258909535736</v>
      </c>
      <c r="S270" s="95">
        <f t="shared" si="70"/>
        <v>0.96</v>
      </c>
      <c r="T270" s="204">
        <f t="shared" si="69"/>
        <v>0.92406178411594109</v>
      </c>
      <c r="U270" s="202" t="str">
        <f t="shared" si="60"/>
        <v>C</v>
      </c>
      <c r="V270" s="202" t="str">
        <f t="shared" si="61"/>
        <v>C</v>
      </c>
      <c r="W270" s="202" t="str">
        <f t="shared" si="62"/>
        <v>A</v>
      </c>
      <c r="X270" s="200">
        <f t="shared" si="63"/>
        <v>84.798069722372858</v>
      </c>
      <c r="Y270">
        <v>11</v>
      </c>
    </row>
    <row r="271" spans="1:25" x14ac:dyDescent="0.25">
      <c r="A271" s="69">
        <f t="shared" si="48"/>
        <v>534.66033256731714</v>
      </c>
      <c r="B271" s="107">
        <v>12</v>
      </c>
      <c r="C271" s="107">
        <f t="shared" si="49"/>
        <v>1.1000000000000001</v>
      </c>
      <c r="D271" s="35">
        <f t="shared" si="50"/>
        <v>1</v>
      </c>
      <c r="E271" s="203">
        <f t="shared" si="64"/>
        <v>0.996661185030149</v>
      </c>
      <c r="F271" s="107">
        <f t="shared" si="51"/>
        <v>1</v>
      </c>
      <c r="G271" s="527">
        <f t="shared" si="52"/>
        <v>18.7</v>
      </c>
      <c r="H271" s="527">
        <f t="shared" si="65"/>
        <v>20.2</v>
      </c>
      <c r="I271" s="528">
        <f t="shared" si="53"/>
        <v>600</v>
      </c>
      <c r="J271" s="528">
        <f t="shared" si="66"/>
        <v>400</v>
      </c>
      <c r="K271" s="529">
        <f t="shared" si="54"/>
        <v>1.5</v>
      </c>
      <c r="L271" s="530">
        <f t="shared" si="67"/>
        <v>200</v>
      </c>
      <c r="M271" s="529">
        <f t="shared" si="55"/>
        <v>1.0099524942548785</v>
      </c>
      <c r="N271" s="528">
        <f t="shared" si="56"/>
        <v>18.7</v>
      </c>
      <c r="O271" s="204">
        <f t="shared" si="57"/>
        <v>19.19004750574512</v>
      </c>
      <c r="P271" s="200">
        <f t="shared" si="58"/>
        <v>558.80358820981007</v>
      </c>
      <c r="Q271" s="204">
        <f t="shared" si="68"/>
        <v>0.38810119046423153</v>
      </c>
      <c r="R271" s="204">
        <f t="shared" si="59"/>
        <v>0.58000166552168275</v>
      </c>
      <c r="S271" s="95">
        <f t="shared" si="70"/>
        <v>0.96</v>
      </c>
      <c r="T271" s="204">
        <f t="shared" si="69"/>
        <v>0.92184477094853667</v>
      </c>
      <c r="U271" s="202" t="str">
        <f t="shared" si="60"/>
        <v>C</v>
      </c>
      <c r="V271" s="202" t="str">
        <f t="shared" si="61"/>
        <v>C</v>
      </c>
      <c r="W271" s="202" t="str">
        <f t="shared" si="62"/>
        <v>A</v>
      </c>
      <c r="X271" s="200">
        <f t="shared" si="63"/>
        <v>84.594621814044046</v>
      </c>
      <c r="Y271">
        <v>12</v>
      </c>
    </row>
    <row r="272" spans="1:25" x14ac:dyDescent="0.25">
      <c r="A272" s="69">
        <f t="shared" si="48"/>
        <v>550.70014254433647</v>
      </c>
      <c r="B272" s="107">
        <v>13</v>
      </c>
      <c r="C272" s="107">
        <f t="shared" si="49"/>
        <v>1.1000000000000001</v>
      </c>
      <c r="D272" s="35">
        <f t="shared" si="50"/>
        <v>1</v>
      </c>
      <c r="E272" s="203">
        <f t="shared" si="64"/>
        <v>0.996661185030149</v>
      </c>
      <c r="F272" s="107">
        <f t="shared" si="51"/>
        <v>1</v>
      </c>
      <c r="G272" s="527">
        <f t="shared" si="52"/>
        <v>18.7</v>
      </c>
      <c r="H272" s="527">
        <f t="shared" si="65"/>
        <v>20.2</v>
      </c>
      <c r="I272" s="528">
        <f t="shared" si="53"/>
        <v>600</v>
      </c>
      <c r="J272" s="528">
        <f t="shared" si="66"/>
        <v>400</v>
      </c>
      <c r="K272" s="529">
        <f t="shared" si="54"/>
        <v>1.5</v>
      </c>
      <c r="L272" s="530">
        <f t="shared" si="67"/>
        <v>200</v>
      </c>
      <c r="M272" s="529">
        <f t="shared" si="55"/>
        <v>1.1302510690825236</v>
      </c>
      <c r="N272" s="528">
        <f t="shared" si="56"/>
        <v>18.7</v>
      </c>
      <c r="O272" s="204">
        <f t="shared" si="57"/>
        <v>19.069748930917477</v>
      </c>
      <c r="P272" s="200">
        <f t="shared" si="58"/>
        <v>575.56769585610425</v>
      </c>
      <c r="Q272" s="204">
        <f t="shared" si="68"/>
        <v>0.39705180898293813</v>
      </c>
      <c r="R272" s="204">
        <f t="shared" si="59"/>
        <v>0.58774929829211287</v>
      </c>
      <c r="S272" s="95">
        <f t="shared" si="70"/>
        <v>0.96</v>
      </c>
      <c r="T272" s="204">
        <f t="shared" si="69"/>
        <v>0.91956124738611011</v>
      </c>
      <c r="U272" s="202" t="str">
        <f t="shared" si="60"/>
        <v>C</v>
      </c>
      <c r="V272" s="202" t="str">
        <f t="shared" si="61"/>
        <v>C</v>
      </c>
      <c r="W272" s="202" t="str">
        <f t="shared" si="62"/>
        <v>A</v>
      </c>
      <c r="X272" s="200">
        <f t="shared" si="63"/>
        <v>84.385070468465372</v>
      </c>
      <c r="Y272">
        <v>13</v>
      </c>
    </row>
    <row r="273" spans="1:25" x14ac:dyDescent="0.25">
      <c r="A273" s="69">
        <f t="shared" si="48"/>
        <v>567.2211468206666</v>
      </c>
      <c r="B273" s="107">
        <v>14</v>
      </c>
      <c r="C273" s="107">
        <f t="shared" si="49"/>
        <v>1.1000000000000001</v>
      </c>
      <c r="D273" s="35">
        <f t="shared" si="50"/>
        <v>1</v>
      </c>
      <c r="E273" s="203">
        <f t="shared" si="64"/>
        <v>0.996661185030149</v>
      </c>
      <c r="F273" s="107">
        <f t="shared" si="51"/>
        <v>1</v>
      </c>
      <c r="G273" s="527">
        <f t="shared" si="52"/>
        <v>18.7</v>
      </c>
      <c r="H273" s="527">
        <f t="shared" si="65"/>
        <v>20.2</v>
      </c>
      <c r="I273" s="528">
        <f t="shared" si="53"/>
        <v>600</v>
      </c>
      <c r="J273" s="528">
        <f t="shared" si="66"/>
        <v>400</v>
      </c>
      <c r="K273" s="529">
        <f t="shared" si="54"/>
        <v>1.5</v>
      </c>
      <c r="L273" s="530">
        <f t="shared" si="67"/>
        <v>200</v>
      </c>
      <c r="M273" s="529">
        <f t="shared" si="55"/>
        <v>1.2541586011549994</v>
      </c>
      <c r="N273" s="528">
        <f t="shared" si="56"/>
        <v>18.7</v>
      </c>
      <c r="O273" s="204">
        <f t="shared" si="57"/>
        <v>18.945841398845001</v>
      </c>
      <c r="P273" s="200">
        <f t="shared" si="58"/>
        <v>592.83472673178733</v>
      </c>
      <c r="Q273" s="204">
        <f t="shared" si="68"/>
        <v>0.40613408937865714</v>
      </c>
      <c r="R273" s="204">
        <f t="shared" si="59"/>
        <v>0.59559250336710712</v>
      </c>
      <c r="S273" s="95">
        <f t="shared" si="70"/>
        <v>0.96</v>
      </c>
      <c r="T273" s="204">
        <f t="shared" si="69"/>
        <v>0.91720921811681067</v>
      </c>
      <c r="U273" s="202" t="str">
        <f t="shared" si="60"/>
        <v>C</v>
      </c>
      <c r="V273" s="202" t="str">
        <f t="shared" si="61"/>
        <v>C</v>
      </c>
      <c r="W273" s="202" t="str">
        <f t="shared" si="62"/>
        <v>A</v>
      </c>
      <c r="X273" s="200">
        <f t="shared" si="63"/>
        <v>84.169232582519328</v>
      </c>
      <c r="Y273">
        <v>14</v>
      </c>
    </row>
    <row r="274" spans="1:25" x14ac:dyDescent="0.25">
      <c r="A274" s="69">
        <f t="shared" si="48"/>
        <v>584.23778122528665</v>
      </c>
      <c r="B274" s="107">
        <v>15</v>
      </c>
      <c r="C274" s="107">
        <f t="shared" si="49"/>
        <v>1.1000000000000001</v>
      </c>
      <c r="D274" s="35">
        <f t="shared" si="50"/>
        <v>1</v>
      </c>
      <c r="E274" s="203">
        <f t="shared" si="64"/>
        <v>0.996661185030149</v>
      </c>
      <c r="F274" s="107">
        <f t="shared" si="51"/>
        <v>1</v>
      </c>
      <c r="G274" s="527">
        <f t="shared" si="52"/>
        <v>18.7</v>
      </c>
      <c r="H274" s="527">
        <f t="shared" si="65"/>
        <v>20.2</v>
      </c>
      <c r="I274" s="528">
        <f t="shared" si="53"/>
        <v>600</v>
      </c>
      <c r="J274" s="528">
        <f t="shared" si="66"/>
        <v>400</v>
      </c>
      <c r="K274" s="529">
        <f t="shared" si="54"/>
        <v>1.5</v>
      </c>
      <c r="L274" s="530">
        <f t="shared" si="67"/>
        <v>200</v>
      </c>
      <c r="M274" s="529">
        <f t="shared" si="55"/>
        <v>1.38178335918965</v>
      </c>
      <c r="N274" s="528">
        <f t="shared" si="56"/>
        <v>18.7</v>
      </c>
      <c r="O274" s="204">
        <f t="shared" si="57"/>
        <v>18.818216640810348</v>
      </c>
      <c r="P274" s="200">
        <f t="shared" si="58"/>
        <v>610.61976853374108</v>
      </c>
      <c r="Q274" s="204">
        <f t="shared" si="68"/>
        <v>0.41534583443888873</v>
      </c>
      <c r="R274" s="204">
        <f t="shared" si="59"/>
        <v>0.60352800084699221</v>
      </c>
      <c r="S274" s="95">
        <f t="shared" si="70"/>
        <v>0.96</v>
      </c>
      <c r="T274" s="204">
        <f t="shared" si="69"/>
        <v>0.91478662796943233</v>
      </c>
      <c r="U274" s="202" t="str">
        <f t="shared" si="60"/>
        <v>C</v>
      </c>
      <c r="V274" s="202" t="str">
        <f t="shared" si="61"/>
        <v>C</v>
      </c>
      <c r="W274" s="202" t="str">
        <f t="shared" si="62"/>
        <v>B</v>
      </c>
      <c r="X274" s="200">
        <f t="shared" si="63"/>
        <v>83.94691955999491</v>
      </c>
      <c r="Y274">
        <v>15</v>
      </c>
    </row>
    <row r="275" spans="1:25" x14ac:dyDescent="0.25">
      <c r="A275" s="69">
        <f t="shared" si="48"/>
        <v>601.76491466204516</v>
      </c>
      <c r="B275" s="107">
        <v>16</v>
      </c>
      <c r="C275" s="107">
        <f t="shared" si="49"/>
        <v>1.1000000000000001</v>
      </c>
      <c r="D275" s="35">
        <f t="shared" si="50"/>
        <v>1</v>
      </c>
      <c r="E275" s="203">
        <f t="shared" si="64"/>
        <v>0.996661185030149</v>
      </c>
      <c r="F275" s="107">
        <f t="shared" si="51"/>
        <v>1</v>
      </c>
      <c r="G275" s="527">
        <f t="shared" si="52"/>
        <v>14.1</v>
      </c>
      <c r="H275" s="527">
        <f t="shared" si="65"/>
        <v>20.2</v>
      </c>
      <c r="I275" s="528">
        <f t="shared" si="53"/>
        <v>800</v>
      </c>
      <c r="J275" s="528">
        <f t="shared" si="66"/>
        <v>600</v>
      </c>
      <c r="K275" s="529">
        <f t="shared" si="54"/>
        <v>6.1</v>
      </c>
      <c r="L275" s="530">
        <f t="shared" si="67"/>
        <v>200</v>
      </c>
      <c r="M275" s="529">
        <f t="shared" si="55"/>
        <v>5.3829897192377303E-2</v>
      </c>
      <c r="N275" s="528">
        <f t="shared" si="56"/>
        <v>14.1</v>
      </c>
      <c r="O275" s="204">
        <f t="shared" si="57"/>
        <v>20.146170102807623</v>
      </c>
      <c r="P275" s="200">
        <f t="shared" si="58"/>
        <v>628.93836158975319</v>
      </c>
      <c r="Q275" s="204">
        <f t="shared" si="68"/>
        <v>0.42468457296516782</v>
      </c>
      <c r="R275" s="204">
        <f t="shared" si="59"/>
        <v>0.62614627399324407</v>
      </c>
      <c r="S275" s="95">
        <f t="shared" si="70"/>
        <v>0.96</v>
      </c>
      <c r="T275" s="204">
        <f t="shared" si="69"/>
        <v>0.9127926314579885</v>
      </c>
      <c r="U275" s="202" t="str">
        <f t="shared" si="60"/>
        <v>C</v>
      </c>
      <c r="V275" s="202" t="str">
        <f t="shared" si="61"/>
        <v>C</v>
      </c>
      <c r="W275" s="202" t="str">
        <f t="shared" si="62"/>
        <v>B</v>
      </c>
      <c r="X275" s="200">
        <f t="shared" si="63"/>
        <v>83.763937146794746</v>
      </c>
      <c r="Y275">
        <v>16</v>
      </c>
    </row>
    <row r="276" spans="1:25" x14ac:dyDescent="0.25">
      <c r="A276" s="69">
        <f t="shared" si="48"/>
        <v>619.8178621019066</v>
      </c>
      <c r="B276" s="107">
        <v>17</v>
      </c>
      <c r="C276" s="107">
        <f t="shared" si="49"/>
        <v>1.1000000000000001</v>
      </c>
      <c r="D276" s="35">
        <f t="shared" si="50"/>
        <v>1</v>
      </c>
      <c r="E276" s="203">
        <f t="shared" si="64"/>
        <v>0.996661185030149</v>
      </c>
      <c r="F276" s="107">
        <f t="shared" si="51"/>
        <v>1</v>
      </c>
      <c r="G276" s="527">
        <f t="shared" si="52"/>
        <v>14.1</v>
      </c>
      <c r="H276" s="527">
        <f t="shared" si="65"/>
        <v>20.2</v>
      </c>
      <c r="I276" s="528">
        <f t="shared" si="53"/>
        <v>800</v>
      </c>
      <c r="J276" s="528">
        <f t="shared" si="66"/>
        <v>600</v>
      </c>
      <c r="K276" s="529">
        <f t="shared" si="54"/>
        <v>6.1</v>
      </c>
      <c r="L276" s="530">
        <f t="shared" si="67"/>
        <v>200</v>
      </c>
      <c r="M276" s="529">
        <f t="shared" si="55"/>
        <v>0.60444479410815122</v>
      </c>
      <c r="N276" s="528">
        <f t="shared" si="56"/>
        <v>14.1</v>
      </c>
      <c r="O276" s="204">
        <f t="shared" si="57"/>
        <v>19.595555205891849</v>
      </c>
      <c r="P276" s="200">
        <f t="shared" si="58"/>
        <v>647.80651243744592</v>
      </c>
      <c r="Q276" s="204">
        <f t="shared" si="68"/>
        <v>0.43414755035214614</v>
      </c>
      <c r="R276" s="204">
        <f t="shared" si="59"/>
        <v>0.6301031024110646</v>
      </c>
      <c r="S276" s="95">
        <f t="shared" si="70"/>
        <v>0.96</v>
      </c>
      <c r="T276" s="204">
        <f>X276/$H$121</f>
        <v>0.91022250557063478</v>
      </c>
      <c r="U276" s="202" t="str">
        <f t="shared" si="60"/>
        <v>C</v>
      </c>
      <c r="V276" s="202" t="str">
        <f t="shared" si="61"/>
        <v>C</v>
      </c>
      <c r="W276" s="202" t="str">
        <f t="shared" si="62"/>
        <v>B</v>
      </c>
      <c r="X276" s="200">
        <f t="shared" si="63"/>
        <v>83.528085261198584</v>
      </c>
      <c r="Y276">
        <v>17</v>
      </c>
    </row>
    <row r="277" spans="1:25" x14ac:dyDescent="0.25">
      <c r="A277" s="69">
        <f t="shared" si="48"/>
        <v>638.4123979649637</v>
      </c>
      <c r="B277" s="107">
        <v>18</v>
      </c>
      <c r="C277" s="107">
        <f t="shared" si="49"/>
        <v>1.1000000000000001</v>
      </c>
      <c r="D277" s="35">
        <f t="shared" si="50"/>
        <v>1</v>
      </c>
      <c r="E277" s="203">
        <f t="shared" si="64"/>
        <v>0.996661185030149</v>
      </c>
      <c r="F277" s="107">
        <f t="shared" si="51"/>
        <v>1</v>
      </c>
      <c r="G277" s="527">
        <f t="shared" si="52"/>
        <v>14.1</v>
      </c>
      <c r="H277" s="527">
        <f t="shared" si="65"/>
        <v>20.2</v>
      </c>
      <c r="I277" s="528">
        <f t="shared" si="53"/>
        <v>800</v>
      </c>
      <c r="J277" s="528">
        <f t="shared" si="66"/>
        <v>600</v>
      </c>
      <c r="K277" s="529">
        <f t="shared" si="54"/>
        <v>6.1</v>
      </c>
      <c r="L277" s="530">
        <f t="shared" si="67"/>
        <v>200</v>
      </c>
      <c r="M277" s="529">
        <f t="shared" si="55"/>
        <v>1.1715781379313928</v>
      </c>
      <c r="N277" s="528">
        <f t="shared" si="56"/>
        <v>14.1</v>
      </c>
      <c r="O277" s="204">
        <f t="shared" si="57"/>
        <v>19.028421862068605</v>
      </c>
      <c r="P277" s="200">
        <f t="shared" si="58"/>
        <v>667.24070781056912</v>
      </c>
      <c r="Q277" s="204">
        <f t="shared" si="68"/>
        <v>0.44373171946886258</v>
      </c>
      <c r="R277" s="204">
        <f t="shared" si="59"/>
        <v>0.63401593808954859</v>
      </c>
      <c r="S277" s="95">
        <f t="shared" si="70"/>
        <v>0.96</v>
      </c>
      <c r="T277" s="204">
        <f t="shared" si="69"/>
        <v>0.90757527590666054</v>
      </c>
      <c r="U277" s="202" t="str">
        <f t="shared" si="60"/>
        <v>C</v>
      </c>
      <c r="V277" s="202" t="str">
        <f t="shared" si="61"/>
        <v>C</v>
      </c>
      <c r="W277" s="202" t="str">
        <f t="shared" si="62"/>
        <v>B</v>
      </c>
      <c r="X277" s="200">
        <f t="shared" si="63"/>
        <v>83.285157819034552</v>
      </c>
      <c r="Y277">
        <v>18</v>
      </c>
    </row>
    <row r="278" spans="1:25" x14ac:dyDescent="0.25">
      <c r="A278" s="69">
        <f t="shared" si="48"/>
        <v>657.56476990391263</v>
      </c>
      <c r="B278" s="107">
        <v>19</v>
      </c>
      <c r="C278" s="107">
        <f t="shared" si="49"/>
        <v>1.1000000000000001</v>
      </c>
      <c r="D278" s="35">
        <f t="shared" si="50"/>
        <v>1</v>
      </c>
      <c r="E278" s="203">
        <f t="shared" si="64"/>
        <v>0.996661185030149</v>
      </c>
      <c r="F278" s="107">
        <f t="shared" si="51"/>
        <v>1</v>
      </c>
      <c r="G278" s="527">
        <f t="shared" si="52"/>
        <v>14.1</v>
      </c>
      <c r="H278" s="527">
        <f t="shared" si="65"/>
        <v>20.2</v>
      </c>
      <c r="I278" s="528">
        <f t="shared" si="53"/>
        <v>800</v>
      </c>
      <c r="J278" s="528">
        <f t="shared" si="66"/>
        <v>600</v>
      </c>
      <c r="K278" s="529">
        <f t="shared" si="54"/>
        <v>6.1</v>
      </c>
      <c r="L278" s="530">
        <f t="shared" si="67"/>
        <v>200</v>
      </c>
      <c r="M278" s="529">
        <f t="shared" si="55"/>
        <v>1.7557254820693353</v>
      </c>
      <c r="N278" s="528">
        <f t="shared" si="56"/>
        <v>14.1</v>
      </c>
      <c r="O278" s="204">
        <f t="shared" si="57"/>
        <v>18.444274517930666</v>
      </c>
      <c r="P278" s="200">
        <f t="shared" si="58"/>
        <v>687.25792904488628</v>
      </c>
      <c r="Q278" s="204">
        <f t="shared" si="68"/>
        <v>0.4534337319092947</v>
      </c>
      <c r="R278" s="204">
        <f t="shared" si="59"/>
        <v>0.6378764770886014</v>
      </c>
      <c r="S278" s="95">
        <f t="shared" si="70"/>
        <v>0.96</v>
      </c>
      <c r="T278" s="204">
        <f t="shared" si="69"/>
        <v>0.90484862935276689</v>
      </c>
      <c r="U278" s="202" t="str">
        <f t="shared" si="60"/>
        <v>C</v>
      </c>
      <c r="V278" s="202" t="str">
        <f t="shared" si="61"/>
        <v>C</v>
      </c>
      <c r="W278" s="202" t="str">
        <f t="shared" si="62"/>
        <v>B</v>
      </c>
      <c r="X278" s="200">
        <f t="shared" si="63"/>
        <v>83.034942553605575</v>
      </c>
      <c r="Y278">
        <v>19</v>
      </c>
    </row>
    <row r="279" spans="1:25" x14ac:dyDescent="0.25">
      <c r="A279" s="69">
        <f t="shared" si="48"/>
        <v>677.29171300103008</v>
      </c>
      <c r="B279" s="107">
        <v>20</v>
      </c>
      <c r="C279" s="107">
        <f t="shared" si="49"/>
        <v>1.1000000000000001</v>
      </c>
      <c r="D279" s="35">
        <f t="shared" si="50"/>
        <v>1</v>
      </c>
      <c r="E279" s="203">
        <f t="shared" si="64"/>
        <v>0.996661185030149</v>
      </c>
      <c r="F279" s="107">
        <f t="shared" si="51"/>
        <v>1</v>
      </c>
      <c r="G279" s="527">
        <f t="shared" si="52"/>
        <v>14.1</v>
      </c>
      <c r="H279" s="527">
        <f t="shared" si="65"/>
        <v>20.2</v>
      </c>
      <c r="I279" s="528">
        <f t="shared" si="53"/>
        <v>800</v>
      </c>
      <c r="J279" s="528">
        <f t="shared" si="66"/>
        <v>600</v>
      </c>
      <c r="K279" s="529">
        <f t="shared" si="54"/>
        <v>6.1</v>
      </c>
      <c r="L279" s="530">
        <f t="shared" si="67"/>
        <v>200</v>
      </c>
      <c r="M279" s="529">
        <f t="shared" si="55"/>
        <v>2.3573972465314172</v>
      </c>
      <c r="N279" s="528">
        <f t="shared" si="56"/>
        <v>14.1</v>
      </c>
      <c r="O279" s="204">
        <f t="shared" si="57"/>
        <v>17.842602753468583</v>
      </c>
      <c r="P279" s="200">
        <f t="shared" si="58"/>
        <v>707.87566691623294</v>
      </c>
      <c r="Q279" s="204">
        <f t="shared" si="68"/>
        <v>0.46324992968366396</v>
      </c>
      <c r="R279" s="204">
        <f t="shared" si="59"/>
        <v>0.6416759572183498</v>
      </c>
      <c r="S279" s="95">
        <f t="shared" si="70"/>
        <v>0.96</v>
      </c>
      <c r="T279" s="204">
        <f t="shared" si="69"/>
        <v>0.90204018340225667</v>
      </c>
      <c r="U279" s="202" t="str">
        <f t="shared" si="60"/>
        <v>C</v>
      </c>
      <c r="V279" s="202" t="str">
        <f t="shared" si="61"/>
        <v>C</v>
      </c>
      <c r="W279" s="202" t="str">
        <f t="shared" si="62"/>
        <v>B</v>
      </c>
      <c r="X279" s="200">
        <f t="shared" si="63"/>
        <v>82.77722083021375</v>
      </c>
      <c r="Y279">
        <v>20</v>
      </c>
    </row>
    <row r="280" spans="1:25" x14ac:dyDescent="0.25">
      <c r="A280" s="69">
        <f t="shared" si="48"/>
        <v>697.61046439106076</v>
      </c>
      <c r="B280" s="107">
        <v>21</v>
      </c>
      <c r="C280" s="107">
        <f t="shared" si="49"/>
        <v>1.1000000000000001</v>
      </c>
      <c r="D280" s="35">
        <f t="shared" si="50"/>
        <v>1</v>
      </c>
      <c r="E280" s="203">
        <f t="shared" si="64"/>
        <v>0.996661185030149</v>
      </c>
      <c r="F280" s="107">
        <f t="shared" si="51"/>
        <v>1</v>
      </c>
      <c r="G280" s="527">
        <f t="shared" si="52"/>
        <v>14.1</v>
      </c>
      <c r="H280" s="527">
        <f t="shared" si="65"/>
        <v>20.2</v>
      </c>
      <c r="I280" s="528">
        <f t="shared" si="53"/>
        <v>800</v>
      </c>
      <c r="J280" s="528">
        <f t="shared" si="66"/>
        <v>600</v>
      </c>
      <c r="K280" s="529">
        <f t="shared" si="54"/>
        <v>6.1</v>
      </c>
      <c r="L280" s="530">
        <f t="shared" si="67"/>
        <v>200</v>
      </c>
      <c r="M280" s="529">
        <f t="shared" si="55"/>
        <v>2.9771191639273531</v>
      </c>
      <c r="N280" s="528">
        <f t="shared" si="56"/>
        <v>14.1</v>
      </c>
      <c r="O280" s="204">
        <f t="shared" si="57"/>
        <v>17.222880836072648</v>
      </c>
      <c r="P280" s="200">
        <f t="shared" si="58"/>
        <v>729.11193692371967</v>
      </c>
      <c r="Q280" s="204">
        <f t="shared" si="68"/>
        <v>0.47317633742632326</v>
      </c>
      <c r="R280" s="204">
        <f t="shared" si="59"/>
        <v>0.64540514578704977</v>
      </c>
      <c r="S280" s="95">
        <f t="shared" si="70"/>
        <v>0.96</v>
      </c>
      <c r="T280" s="204">
        <f t="shared" si="69"/>
        <v>0.89914748407323097</v>
      </c>
      <c r="U280" s="202" t="str">
        <f t="shared" si="60"/>
        <v>C</v>
      </c>
      <c r="V280" s="202" t="str">
        <f t="shared" si="61"/>
        <v>C</v>
      </c>
      <c r="W280" s="202" t="str">
        <f t="shared" si="62"/>
        <v>B</v>
      </c>
      <c r="X280" s="200">
        <f t="shared" si="63"/>
        <v>82.511767455120165</v>
      </c>
      <c r="Y280">
        <v>21</v>
      </c>
    </row>
    <row r="281" spans="1:25" x14ac:dyDescent="0.25">
      <c r="A281" s="69">
        <f t="shared" si="48"/>
        <v>718.53877832279261</v>
      </c>
      <c r="B281" s="107">
        <v>22</v>
      </c>
      <c r="C281" s="107">
        <f t="shared" si="49"/>
        <v>1.1000000000000001</v>
      </c>
      <c r="D281" s="35">
        <f t="shared" si="50"/>
        <v>1</v>
      </c>
      <c r="E281" s="203">
        <f t="shared" si="64"/>
        <v>0.996661185030149</v>
      </c>
      <c r="F281" s="107">
        <f t="shared" si="51"/>
        <v>1</v>
      </c>
      <c r="G281" s="527">
        <f t="shared" si="52"/>
        <v>14.1</v>
      </c>
      <c r="H281" s="527">
        <f t="shared" si="65"/>
        <v>20.2</v>
      </c>
      <c r="I281" s="528">
        <f t="shared" si="53"/>
        <v>800</v>
      </c>
      <c r="J281" s="528">
        <f t="shared" si="66"/>
        <v>600</v>
      </c>
      <c r="K281" s="529">
        <f t="shared" si="54"/>
        <v>6.1</v>
      </c>
      <c r="L281" s="530">
        <f t="shared" si="67"/>
        <v>200</v>
      </c>
      <c r="M281" s="529">
        <f t="shared" si="55"/>
        <v>3.6154327388451741</v>
      </c>
      <c r="N281" s="528">
        <f t="shared" si="56"/>
        <v>14.1</v>
      </c>
      <c r="O281" s="204">
        <f t="shared" si="57"/>
        <v>16.584567261154824</v>
      </c>
      <c r="P281" s="200">
        <f t="shared" si="58"/>
        <v>750.98529503143129</v>
      </c>
      <c r="Q281" s="204">
        <f t="shared" si="68"/>
        <v>0.48320865520032075</v>
      </c>
      <c r="R281" s="204">
        <f t="shared" si="59"/>
        <v>0.649054327811869</v>
      </c>
      <c r="S281" s="95">
        <f t="shared" si="70"/>
        <v>0.96</v>
      </c>
      <c r="T281" s="204">
        <f t="shared" si="69"/>
        <v>0.89616800376433459</v>
      </c>
      <c r="U281" s="202" t="str">
        <f t="shared" si="60"/>
        <v>C</v>
      </c>
      <c r="V281" s="202" t="str">
        <f t="shared" si="61"/>
        <v>C</v>
      </c>
      <c r="W281" s="202" t="str">
        <f t="shared" si="62"/>
        <v>B</v>
      </c>
      <c r="X281" s="200">
        <f t="shared" si="63"/>
        <v>82.238350478773768</v>
      </c>
      <c r="Y281">
        <v>22</v>
      </c>
    </row>
    <row r="282" spans="1:25" x14ac:dyDescent="0.25">
      <c r="A282" s="69">
        <f t="shared" si="48"/>
        <v>740.09494167247647</v>
      </c>
      <c r="B282" s="107">
        <v>23</v>
      </c>
      <c r="C282" s="107">
        <f t="shared" si="49"/>
        <v>1.1000000000000001</v>
      </c>
      <c r="D282" s="35">
        <f t="shared" si="50"/>
        <v>1</v>
      </c>
      <c r="E282" s="203">
        <f t="shared" si="64"/>
        <v>0.996661185030149</v>
      </c>
      <c r="F282" s="107">
        <f t="shared" si="51"/>
        <v>1</v>
      </c>
      <c r="G282" s="527">
        <f t="shared" si="52"/>
        <v>14.1</v>
      </c>
      <c r="H282" s="527">
        <f t="shared" si="65"/>
        <v>20.2</v>
      </c>
      <c r="I282" s="528">
        <f t="shared" si="53"/>
        <v>800</v>
      </c>
      <c r="J282" s="528">
        <f t="shared" si="66"/>
        <v>600</v>
      </c>
      <c r="K282" s="529">
        <f t="shared" si="54"/>
        <v>6.1</v>
      </c>
      <c r="L282" s="530">
        <f t="shared" si="67"/>
        <v>200</v>
      </c>
      <c r="M282" s="529">
        <f t="shared" si="55"/>
        <v>4.2728957210105314</v>
      </c>
      <c r="N282" s="528">
        <f t="shared" si="56"/>
        <v>14.1</v>
      </c>
      <c r="O282" s="204">
        <f t="shared" si="57"/>
        <v>15.927104278989468</v>
      </c>
      <c r="P282" s="200">
        <f t="shared" si="58"/>
        <v>773.51485388237427</v>
      </c>
      <c r="Q282" s="204">
        <f t="shared" si="68"/>
        <v>0.49334225198286241</v>
      </c>
      <c r="R282" s="204">
        <f t="shared" si="59"/>
        <v>0.65261329477275709</v>
      </c>
      <c r="S282" s="95">
        <f t="shared" si="70"/>
        <v>0.96</v>
      </c>
      <c r="T282" s="204">
        <f t="shared" si="69"/>
        <v>0.89309913904617133</v>
      </c>
      <c r="U282" s="202" t="str">
        <f t="shared" si="60"/>
        <v>D</v>
      </c>
      <c r="V282" s="202" t="str">
        <f t="shared" si="61"/>
        <v>C</v>
      </c>
      <c r="W282" s="202" t="str">
        <f t="shared" si="62"/>
        <v>B</v>
      </c>
      <c r="X282" s="200">
        <f t="shared" si="63"/>
        <v>81.956730993136986</v>
      </c>
      <c r="Y282">
        <v>23</v>
      </c>
    </row>
    <row r="283" spans="1:25" x14ac:dyDescent="0.25">
      <c r="A283" s="69">
        <f t="shared" si="48"/>
        <v>762.29778992265074</v>
      </c>
      <c r="B283" s="107">
        <v>24</v>
      </c>
      <c r="C283" s="107">
        <f t="shared" si="49"/>
        <v>1.1000000000000001</v>
      </c>
      <c r="D283" s="35">
        <f t="shared" si="50"/>
        <v>1</v>
      </c>
      <c r="E283" s="203">
        <f t="shared" si="64"/>
        <v>0.996661185030149</v>
      </c>
      <c r="F283" s="107">
        <f t="shared" si="51"/>
        <v>1</v>
      </c>
      <c r="G283" s="527">
        <f t="shared" si="52"/>
        <v>14.1</v>
      </c>
      <c r="H283" s="527">
        <f t="shared" si="65"/>
        <v>20.2</v>
      </c>
      <c r="I283" s="528">
        <f t="shared" si="53"/>
        <v>800</v>
      </c>
      <c r="J283" s="528">
        <f t="shared" si="66"/>
        <v>600</v>
      </c>
      <c r="K283" s="529">
        <f t="shared" si="54"/>
        <v>6.1</v>
      </c>
      <c r="L283" s="530">
        <f t="shared" si="67"/>
        <v>200</v>
      </c>
      <c r="M283" s="529">
        <f t="shared" si="55"/>
        <v>4.9500825926408467</v>
      </c>
      <c r="N283" s="528">
        <f t="shared" si="56"/>
        <v>14.1</v>
      </c>
      <c r="O283" s="204">
        <f t="shared" si="57"/>
        <v>15.249917407359153</v>
      </c>
      <c r="P283" s="200">
        <f t="shared" si="58"/>
        <v>796.72029949884552</v>
      </c>
      <c r="Q283" s="204">
        <f t="shared" si="68"/>
        <v>0.50357215991985016</v>
      </c>
      <c r="R283" s="204">
        <f t="shared" si="59"/>
        <v>0.65607133399344164</v>
      </c>
      <c r="S283" s="95">
        <f t="shared" si="70"/>
        <v>0.96</v>
      </c>
      <c r="T283" s="204">
        <f t="shared" si="69"/>
        <v>0.88993820838646309</v>
      </c>
      <c r="U283" s="202" t="str">
        <f t="shared" si="60"/>
        <v>D</v>
      </c>
      <c r="V283" s="202" t="str">
        <f t="shared" si="61"/>
        <v>C</v>
      </c>
      <c r="W283" s="202" t="str">
        <f t="shared" si="62"/>
        <v>B</v>
      </c>
      <c r="X283" s="200">
        <f t="shared" si="63"/>
        <v>81.666662922931096</v>
      </c>
      <c r="Y283">
        <v>24</v>
      </c>
    </row>
    <row r="284" spans="1:25" x14ac:dyDescent="0.25">
      <c r="A284" s="69">
        <f t="shared" si="48"/>
        <v>785.16672362033023</v>
      </c>
      <c r="B284" s="107">
        <v>25</v>
      </c>
      <c r="C284" s="107">
        <f t="shared" si="49"/>
        <v>1.1000000000000001</v>
      </c>
      <c r="D284" s="35">
        <f t="shared" si="50"/>
        <v>1</v>
      </c>
      <c r="E284" s="203">
        <f t="shared" si="64"/>
        <v>0.996661185030149</v>
      </c>
      <c r="F284" s="107">
        <f t="shared" si="51"/>
        <v>1</v>
      </c>
      <c r="G284" s="527">
        <f t="shared" si="52"/>
        <v>14.1</v>
      </c>
      <c r="H284" s="527">
        <f t="shared" si="65"/>
        <v>20.2</v>
      </c>
      <c r="I284" s="528">
        <f t="shared" si="53"/>
        <v>800</v>
      </c>
      <c r="J284" s="528">
        <f t="shared" si="66"/>
        <v>600</v>
      </c>
      <c r="K284" s="529">
        <f t="shared" si="54"/>
        <v>6.1</v>
      </c>
      <c r="L284" s="530">
        <f t="shared" si="67"/>
        <v>200</v>
      </c>
      <c r="M284" s="529">
        <f t="shared" si="55"/>
        <v>5.6475850704200719</v>
      </c>
      <c r="N284" s="528">
        <f t="shared" si="56"/>
        <v>14.1</v>
      </c>
      <c r="O284" s="204">
        <f t="shared" si="57"/>
        <v>14.552414929579928</v>
      </c>
      <c r="P284" s="200">
        <f t="shared" si="58"/>
        <v>820.62190848381078</v>
      </c>
      <c r="Q284" s="204">
        <f t="shared" si="68"/>
        <v>0.5138930694413566</v>
      </c>
      <c r="R284" s="204">
        <f t="shared" si="59"/>
        <v>0.65941721873715586</v>
      </c>
      <c r="S284" s="95">
        <f t="shared" si="70"/>
        <v>0.96</v>
      </c>
      <c r="T284" s="204">
        <f t="shared" si="69"/>
        <v>0.88668244980696365</v>
      </c>
      <c r="U284" s="202" t="str">
        <f t="shared" si="60"/>
        <v>D</v>
      </c>
      <c r="V284" s="202" t="str">
        <f t="shared" si="61"/>
        <v>C</v>
      </c>
      <c r="W284" s="202" t="str">
        <f t="shared" si="62"/>
        <v>B</v>
      </c>
      <c r="X284" s="200">
        <f t="shared" si="63"/>
        <v>81.367892810619026</v>
      </c>
      <c r="Y284">
        <v>25</v>
      </c>
    </row>
    <row r="285" spans="1:25" x14ac:dyDescent="0.25">
      <c r="A285" s="69">
        <f t="shared" si="48"/>
        <v>808.72172532894012</v>
      </c>
      <c r="B285" s="107">
        <v>26</v>
      </c>
      <c r="C285" s="107">
        <f t="shared" si="49"/>
        <v>1</v>
      </c>
      <c r="D285" s="35">
        <f t="shared" si="50"/>
        <v>1</v>
      </c>
      <c r="E285" s="203">
        <f t="shared" si="64"/>
        <v>1</v>
      </c>
      <c r="F285" s="107">
        <f t="shared" si="51"/>
        <v>1</v>
      </c>
      <c r="G285" s="527">
        <f t="shared" si="52"/>
        <v>6.7</v>
      </c>
      <c r="H285" s="527">
        <f t="shared" si="65"/>
        <v>20.2</v>
      </c>
      <c r="I285" s="528">
        <f t="shared" si="53"/>
        <v>1400</v>
      </c>
      <c r="J285" s="528">
        <f t="shared" si="66"/>
        <v>800</v>
      </c>
      <c r="K285" s="529">
        <f t="shared" si="54"/>
        <v>13.5</v>
      </c>
      <c r="L285" s="530">
        <f t="shared" si="67"/>
        <v>600</v>
      </c>
      <c r="M285" s="529">
        <f t="shared" si="55"/>
        <v>0.1962388199011528</v>
      </c>
      <c r="N285" s="528">
        <f t="shared" si="56"/>
        <v>6.7</v>
      </c>
      <c r="O285" s="204">
        <f t="shared" si="57"/>
        <v>20.003761180098845</v>
      </c>
      <c r="P285" s="200">
        <f t="shared" si="58"/>
        <v>842.4184638843127</v>
      </c>
      <c r="Q285" s="204">
        <f t="shared" si="68"/>
        <v>0.52311782431770881</v>
      </c>
      <c r="R285" s="204">
        <f t="shared" si="59"/>
        <v>0.72315543611869726</v>
      </c>
      <c r="S285" s="95">
        <f t="shared" si="70"/>
        <v>0.96</v>
      </c>
      <c r="T285" s="204">
        <f t="shared" si="69"/>
        <v>0.88451982420754915</v>
      </c>
      <c r="U285" s="202" t="str">
        <f t="shared" si="60"/>
        <v>D</v>
      </c>
      <c r="V285" s="202" t="str">
        <f t="shared" si="61"/>
        <v>D</v>
      </c>
      <c r="W285" s="202" t="str">
        <f t="shared" si="62"/>
        <v>B</v>
      </c>
      <c r="X285" s="200">
        <f t="shared" si="63"/>
        <v>81.169435868112757</v>
      </c>
      <c r="Y285">
        <v>26</v>
      </c>
    </row>
    <row r="286" spans="1:25" x14ac:dyDescent="0.25">
      <c r="A286" s="69">
        <f t="shared" si="48"/>
        <v>832.9833770888082</v>
      </c>
      <c r="B286" s="107">
        <v>27</v>
      </c>
      <c r="C286" s="107">
        <f t="shared" si="49"/>
        <v>1</v>
      </c>
      <c r="D286" s="35">
        <f t="shared" si="50"/>
        <v>1</v>
      </c>
      <c r="E286" s="203">
        <f t="shared" si="64"/>
        <v>1</v>
      </c>
      <c r="F286" s="107">
        <f t="shared" si="51"/>
        <v>1</v>
      </c>
      <c r="G286" s="527">
        <f t="shared" si="52"/>
        <v>6.7</v>
      </c>
      <c r="H286" s="527">
        <f t="shared" si="65"/>
        <v>20.2</v>
      </c>
      <c r="I286" s="528">
        <f t="shared" si="53"/>
        <v>1400</v>
      </c>
      <c r="J286" s="528">
        <f t="shared" si="66"/>
        <v>800</v>
      </c>
      <c r="K286" s="529">
        <f t="shared" si="54"/>
        <v>13.5</v>
      </c>
      <c r="L286" s="530">
        <f t="shared" si="67"/>
        <v>600</v>
      </c>
      <c r="M286" s="529">
        <f t="shared" si="55"/>
        <v>0.74212598449818445</v>
      </c>
      <c r="N286" s="528">
        <f t="shared" si="56"/>
        <v>6.7</v>
      </c>
      <c r="O286" s="204">
        <f t="shared" si="57"/>
        <v>19.457874015501815</v>
      </c>
      <c r="P286" s="200">
        <f t="shared" si="58"/>
        <v>867.69101780084191</v>
      </c>
      <c r="Q286" s="204">
        <f t="shared" si="68"/>
        <v>0.53359475796152789</v>
      </c>
      <c r="R286" s="204">
        <f t="shared" si="59"/>
        <v>0.72817349811654608</v>
      </c>
      <c r="S286" s="95">
        <f t="shared" si="70"/>
        <v>0.96</v>
      </c>
      <c r="T286" s="204">
        <f t="shared" si="69"/>
        <v>0.88107732231190872</v>
      </c>
      <c r="U286" s="202" t="str">
        <f t="shared" si="60"/>
        <v>D</v>
      </c>
      <c r="V286" s="202" t="str">
        <f t="shared" si="61"/>
        <v>D</v>
      </c>
      <c r="W286" s="202" t="str">
        <f t="shared" si="62"/>
        <v>B</v>
      </c>
      <c r="X286" s="200">
        <f t="shared" si="63"/>
        <v>80.853528944156153</v>
      </c>
      <c r="Y286">
        <v>27</v>
      </c>
    </row>
    <row r="287" spans="1:25" x14ac:dyDescent="0.25">
      <c r="A287" s="69">
        <f t="shared" si="48"/>
        <v>857.97287840147271</v>
      </c>
      <c r="B287" s="107">
        <v>28</v>
      </c>
      <c r="C287" s="107">
        <f t="shared" si="49"/>
        <v>1</v>
      </c>
      <c r="D287" s="35">
        <f t="shared" si="50"/>
        <v>1</v>
      </c>
      <c r="E287" s="203">
        <f t="shared" si="64"/>
        <v>1</v>
      </c>
      <c r="F287" s="107">
        <f t="shared" si="51"/>
        <v>1</v>
      </c>
      <c r="G287" s="527">
        <f t="shared" si="52"/>
        <v>6.7</v>
      </c>
      <c r="H287" s="527">
        <f t="shared" si="65"/>
        <v>20.2</v>
      </c>
      <c r="I287" s="528">
        <f t="shared" si="53"/>
        <v>1400</v>
      </c>
      <c r="J287" s="528">
        <f t="shared" si="66"/>
        <v>800</v>
      </c>
      <c r="K287" s="529">
        <f t="shared" si="54"/>
        <v>13.5</v>
      </c>
      <c r="L287" s="530">
        <f t="shared" si="67"/>
        <v>600</v>
      </c>
      <c r="M287" s="529">
        <f t="shared" si="55"/>
        <v>1.3043897640331359</v>
      </c>
      <c r="N287" s="528">
        <f t="shared" si="56"/>
        <v>6.7</v>
      </c>
      <c r="O287" s="204">
        <f t="shared" si="57"/>
        <v>18.895610235966863</v>
      </c>
      <c r="P287" s="200">
        <f t="shared" si="58"/>
        <v>893.72174833486747</v>
      </c>
      <c r="Q287" s="204">
        <f t="shared" si="68"/>
        <v>0.54414541678590078</v>
      </c>
      <c r="R287" s="204">
        <f t="shared" si="59"/>
        <v>0.73310151914556942</v>
      </c>
      <c r="S287" s="95">
        <f t="shared" si="70"/>
        <v>0.96</v>
      </c>
      <c r="T287" s="204">
        <f t="shared" si="69"/>
        <v>0.87753154535939881</v>
      </c>
      <c r="U287" s="202" t="str">
        <f t="shared" si="60"/>
        <v>D</v>
      </c>
      <c r="V287" s="202" t="str">
        <f t="shared" si="61"/>
        <v>D</v>
      </c>
      <c r="W287" s="202" t="str">
        <f t="shared" si="62"/>
        <v>B</v>
      </c>
      <c r="X287" s="200">
        <f t="shared" si="63"/>
        <v>80.528144812480832</v>
      </c>
      <c r="Y287">
        <v>28</v>
      </c>
    </row>
    <row r="288" spans="1:25" x14ac:dyDescent="0.25">
      <c r="A288" s="69">
        <f t="shared" si="48"/>
        <v>883.71206475351664</v>
      </c>
      <c r="B288" s="107">
        <v>29</v>
      </c>
      <c r="C288" s="107">
        <f t="shared" si="49"/>
        <v>1</v>
      </c>
      <c r="D288" s="35">
        <f t="shared" si="50"/>
        <v>1</v>
      </c>
      <c r="E288" s="203">
        <f t="shared" si="64"/>
        <v>1</v>
      </c>
      <c r="F288" s="107">
        <f t="shared" si="51"/>
        <v>1</v>
      </c>
      <c r="G288" s="527">
        <f t="shared" si="52"/>
        <v>6.7</v>
      </c>
      <c r="H288" s="527">
        <f t="shared" si="65"/>
        <v>20.2</v>
      </c>
      <c r="I288" s="528">
        <f t="shared" si="53"/>
        <v>1400</v>
      </c>
      <c r="J288" s="528">
        <f t="shared" si="66"/>
        <v>800</v>
      </c>
      <c r="K288" s="529">
        <f t="shared" si="54"/>
        <v>13.5</v>
      </c>
      <c r="L288" s="530">
        <f t="shared" si="67"/>
        <v>600</v>
      </c>
      <c r="M288" s="529">
        <f t="shared" si="55"/>
        <v>1.8835214569541245</v>
      </c>
      <c r="N288" s="528">
        <f t="shared" si="56"/>
        <v>6.7</v>
      </c>
      <c r="O288" s="204">
        <f t="shared" si="57"/>
        <v>18.316478543045875</v>
      </c>
      <c r="P288" s="200">
        <f t="shared" si="58"/>
        <v>920.53340078491317</v>
      </c>
      <c r="Q288" s="204">
        <f t="shared" si="68"/>
        <v>0.5547631357843692</v>
      </c>
      <c r="R288" s="204">
        <f t="shared" si="59"/>
        <v>0.73792792121482798</v>
      </c>
      <c r="S288" s="95">
        <f t="shared" si="70"/>
        <v>0.96</v>
      </c>
      <c r="T288" s="204">
        <f t="shared" si="69"/>
        <v>0.8738793950983138</v>
      </c>
      <c r="U288" s="202" t="str">
        <f t="shared" si="60"/>
        <v>D</v>
      </c>
      <c r="V288" s="202" t="str">
        <f t="shared" si="61"/>
        <v>D</v>
      </c>
      <c r="W288" s="202" t="str">
        <f t="shared" si="62"/>
        <v>B</v>
      </c>
      <c r="X288" s="200">
        <f t="shared" si="63"/>
        <v>80.192999156855265</v>
      </c>
      <c r="Y288">
        <v>29</v>
      </c>
    </row>
    <row r="289" spans="1:26" x14ac:dyDescent="0.25">
      <c r="A289" s="69">
        <f t="shared" si="48"/>
        <v>910.22342669612226</v>
      </c>
      <c r="B289" s="107">
        <v>30</v>
      </c>
      <c r="C289" s="107">
        <f t="shared" si="49"/>
        <v>1</v>
      </c>
      <c r="D289" s="35">
        <f t="shared" si="50"/>
        <v>1</v>
      </c>
      <c r="E289" s="203">
        <f t="shared" si="64"/>
        <v>1</v>
      </c>
      <c r="F289" s="107">
        <f t="shared" si="51"/>
        <v>1</v>
      </c>
      <c r="G289" s="527">
        <f t="shared" si="52"/>
        <v>6.7</v>
      </c>
      <c r="H289" s="527">
        <f t="shared" si="65"/>
        <v>20.2</v>
      </c>
      <c r="I289" s="532">
        <f t="shared" si="53"/>
        <v>1400</v>
      </c>
      <c r="J289" s="532">
        <f t="shared" si="66"/>
        <v>800</v>
      </c>
      <c r="K289" s="533">
        <f t="shared" si="54"/>
        <v>13.5</v>
      </c>
      <c r="L289" s="534">
        <f t="shared" si="67"/>
        <v>600</v>
      </c>
      <c r="M289" s="533">
        <f t="shared" si="55"/>
        <v>2.4800271006627508</v>
      </c>
      <c r="N289" s="528">
        <f t="shared" si="56"/>
        <v>6.7</v>
      </c>
      <c r="O289" s="204">
        <f t="shared" si="57"/>
        <v>17.71997289933725</v>
      </c>
      <c r="P289" s="200">
        <f t="shared" si="58"/>
        <v>948.14940280846076</v>
      </c>
      <c r="Q289" s="204">
        <f t="shared" si="68"/>
        <v>0.56544089998011848</v>
      </c>
      <c r="R289" s="204">
        <f t="shared" si="59"/>
        <v>0.74264062897349103</v>
      </c>
      <c r="S289" s="95">
        <f t="shared" si="70"/>
        <v>0.96</v>
      </c>
      <c r="T289" s="204">
        <f t="shared" si="69"/>
        <v>0.87011768032939596</v>
      </c>
      <c r="U289" s="202" t="str">
        <f t="shared" si="60"/>
        <v>D</v>
      </c>
      <c r="V289" s="202" t="str">
        <f t="shared" si="61"/>
        <v>D</v>
      </c>
      <c r="W289" s="202" t="str">
        <f t="shared" si="62"/>
        <v>B</v>
      </c>
      <c r="X289" s="200">
        <f t="shared" si="63"/>
        <v>79.847799131560905</v>
      </c>
      <c r="Y289">
        <v>30</v>
      </c>
    </row>
    <row r="290" spans="1:26" x14ac:dyDescent="0.25">
      <c r="A290" s="69">
        <f>J34/12</f>
        <v>937.53012949700599</v>
      </c>
      <c r="B290" s="107">
        <v>31</v>
      </c>
      <c r="C290" s="107">
        <f>IF(A290&lt;=100,$I$153,IF(AND(A290&gt;100,A290&lt;=200),$I$154, IF(AND(A290&gt;200,A290&lt;=300),$I$155,IF(AND(A290&gt;300,A290&lt;=400),$I$156,IF(AND(A290&gt;400,A290&lt;=500),$I$157,IF(AND(A290&gt;500,A290&lt;=600),$I$158,IF(AND(A290&gt;600,A290&lt;=700),$I$159,IF(AND(A290&gt;700,A290&lt;=800),$I$160, IF(A290&gt;800,$I$161)))))))))</f>
        <v>1</v>
      </c>
      <c r="D290" s="35">
        <f t="shared" si="50"/>
        <v>1</v>
      </c>
      <c r="E290" s="203">
        <f>1/(1+$H$148*(C290-1)+$H$149*(D290-1))</f>
        <v>1</v>
      </c>
      <c r="F290" s="107">
        <f>IF(A290&lt;=100,$H$168,IF(AND(A290&gt;100,A290&lt;=200),$H$169, IF(AND(A290&gt;200,A290&lt;=300),$H$170,IF(AND(A290&gt;300,A290&lt;=400),$H$171,IF(AND(A290&gt;400,A290&lt;=500),$H$172,IF(AND(A290&gt;500,A290&lt;=600),$H$173,IF(AND(A290&gt;600,A290&lt;=700),$H$174,IF(AND(A290&gt;700,A290&lt;=800),$H$175, IF(A290&gt;800,$H$176)))))))))</f>
        <v>1</v>
      </c>
      <c r="G290" s="527">
        <f>IF(A290&lt;=200,$I$246,IF(AND(A290&gt;200,A290&lt;=400),$I$247,IF(AND(A290&gt;400,A290&lt;=600),$I$248,IF(AND(A290&gt;600,A290&lt;=800),$I$249,IF(AND(A290&gt;800,A290&lt;=1400),$I$250,IF(AND(A290&gt;1400,A290&lt;=2000),$I$251,IF(AND(A290&gt;2000,A290&lt;=2600),$I$252,IF(A290&gt;2600,$I$253))))))))</f>
        <v>6.7</v>
      </c>
      <c r="H290" s="527">
        <f>IF(B290&lt;=200,$I$245,IF(AND(B290&gt;200,B290&lt;=400),$I$246,IF(AND(B290&gt;400,B290&lt;=600),$I$247,IF(AND(B290&gt;600,B290&lt;=800),$I$248,IF(AND(B290&gt;800,B290&lt;=1400),$I$249,IF(AND(B290&gt;1400,B290&lt;=2000),$I$250,IF(AND(B290&gt;2000,B290&lt;=2600),$I$251,IF(B290&gt;2600,$I$252))))))))</f>
        <v>20.2</v>
      </c>
      <c r="I290" s="532">
        <f>IF(A290&lt;=200,$H$246,IF(AND(A290&gt;200,A290&lt;=400),$H$247,IF(AND(A290&gt;400,A290&lt;=600),$H$248,IF(AND(A290&gt;600,A290&lt;=800),$H$249,IF(AND(A290&gt;800,A290&lt;=1400),$H$250,IF(AND(A290&gt;1400,A290&lt;=2000),$H$251,IF(AND(A290&gt;2000,A290&lt;=2600),$H$252,IF(A290&gt;2600,$H$253))))))))</f>
        <v>1400</v>
      </c>
      <c r="J290" s="532">
        <f>IF(A290&lt;=200,$H$244,IF(AND(A290&gt;200,A290&lt;=400),$H$246,IF(AND(A290&gt;400,A290&lt;=600),$H$247,IF(AND(A290&gt;600,A290&lt;=800),$H$248,IF(AND(A290&gt;800,A290&lt;=1400),$H$249,IF(AND(A290&gt;1400,A290&lt;=2000),$H$250,IF(AND(A290&gt;2000,A290&lt;=2600),$H$251,IF(A290&gt;2600,$H$252))))))))</f>
        <v>800</v>
      </c>
      <c r="K290" s="533">
        <f>ABS(H290-G290)</f>
        <v>13.5</v>
      </c>
      <c r="L290" s="534">
        <f>I290-J290</f>
        <v>600</v>
      </c>
      <c r="M290" s="533">
        <f>((A290-J290)*K290)/L290</f>
        <v>3.0944279136826349</v>
      </c>
      <c r="N290" s="528">
        <f>IF(A290&lt;H278,H290,G290)</f>
        <v>6.7</v>
      </c>
      <c r="O290" s="204">
        <f>IF(H290&lt;G290,H290+M290,H290-M290)</f>
        <v>17.105572086317366</v>
      </c>
      <c r="P290" s="200">
        <f>A290/(S290*F290*E290)</f>
        <v>976.59388489271464</v>
      </c>
      <c r="Q290" s="204">
        <f>1-EXP(-0.000879*P290)</f>
        <v>0.57617134662232217</v>
      </c>
      <c r="R290" s="204">
        <f>(Q290)+(O290/100)</f>
        <v>0.74722706748549583</v>
      </c>
      <c r="S290" s="95">
        <f t="shared" si="70"/>
        <v>0.96</v>
      </c>
      <c r="T290" s="204">
        <f>X290/$H$121</f>
        <v>0.86624311411741095</v>
      </c>
      <c r="U290" s="202" t="str">
        <f>IF(R290&lt;=0.35,$D$238,IF(AND(R290&gt;0.35,R290&lt;=0.5),$D$239,IF(AND(R290&gt;0.5,R290&lt;=0.65),$D$240,IF(AND(R290&gt;0.65,R290&lt;=0.8),$D$241,IF(R290&gt;0.8,$D$242)))))</f>
        <v>D</v>
      </c>
      <c r="V290" s="202" t="str">
        <f>IF(R290&lt;=0.4,$D$238,IF(AND(R290&gt;0.4,R290&lt;=0.55),$D$239,IF(AND(R290&gt;0.55,R290&lt;=0.7),$D$240,IF(AND(R290&gt;0.7,R290&lt;=0.85),$D$241,IF(R290&gt;0.85,$D$242)))))</f>
        <v>D</v>
      </c>
      <c r="W290" s="202" t="str">
        <f>IF(T290&gt;0.917,$D$238,IF(AND(T290&lt;0.917,T290&gt;=0.833),$D$239,IF(AND(T290&lt;0.833,T290&gt;=0.75),$D$240,IF(AND(T290&lt;0.75,T290&gt;=0.667),$D$241,IF(T290&lt;=0.667,$D$242)))))</f>
        <v>B</v>
      </c>
      <c r="X290" s="200">
        <f>$H$121-(0.0125*P290)-(G290/100)</f>
        <v>79.49224310550774</v>
      </c>
      <c r="Y290">
        <v>31</v>
      </c>
      <c r="Z290" s="61"/>
    </row>
    <row r="291" spans="1:26" x14ac:dyDescent="0.25">
      <c r="A291" s="69">
        <f>J35/12</f>
        <v>965.65603338191602</v>
      </c>
      <c r="B291" s="107">
        <v>32</v>
      </c>
      <c r="C291" s="107">
        <f>IF(A291&lt;=100,$I$153,IF(AND(A291&gt;100,A291&lt;=200),$I$154, IF(AND(A291&gt;200,A291&lt;=300),$I$155,IF(AND(A291&gt;300,A291&lt;=400),$I$156,IF(AND(A291&gt;400,A291&lt;=500),$I$157,IF(AND(A291&gt;500,A291&lt;=600),$I$158,IF(AND(A291&gt;600,A291&lt;=700),$I$159,IF(AND(A291&gt;700,A291&lt;=800),$I$160, IF(A291&gt;800,$I$161)))))))))</f>
        <v>1</v>
      </c>
      <c r="D291" s="35">
        <f t="shared" si="50"/>
        <v>1</v>
      </c>
      <c r="E291" s="203">
        <f>1/(1+$H$148*(C291-1)+$H$149*(D291-1))</f>
        <v>1</v>
      </c>
      <c r="F291" s="107">
        <f>IF(A291&lt;=100,$H$168,IF(AND(A291&gt;100,A291&lt;=200),$H$169, IF(AND(A291&gt;200,A291&lt;=300),$H$170,IF(AND(A291&gt;300,A291&lt;=400),$H$171,IF(AND(A291&gt;400,A291&lt;=500),$H$172,IF(AND(A291&gt;500,A291&lt;=600),$H$173,IF(AND(A291&gt;600,A291&lt;=700),$H$174,IF(AND(A291&gt;700,A291&lt;=800),$H$175, IF(A291&gt;800,$H$176)))))))))</f>
        <v>1</v>
      </c>
      <c r="G291" s="527">
        <f>IF(A291&lt;=200,$I$246,IF(AND(A291&gt;200,A291&lt;=400),$I$247,IF(AND(A291&gt;400,A291&lt;=600),$I$248,IF(AND(A291&gt;600,A291&lt;=800),$I$249,IF(AND(A291&gt;800,A291&lt;=1400),$I$250,IF(AND(A291&gt;1400,A291&lt;=2000),$I$251,IF(AND(A291&gt;2000,A291&lt;=2600),$I$252,IF(A291&gt;2600,$I$253))))))))</f>
        <v>6.7</v>
      </c>
      <c r="H291" s="527">
        <f>IF(B291&lt;=200,$I$245,IF(AND(B291&gt;200,B291&lt;=400),$I$246,IF(AND(B291&gt;400,B291&lt;=600),$I$247,IF(AND(B291&gt;600,B291&lt;=800),$I$248,IF(AND(B291&gt;800,B291&lt;=1400),$I$249,IF(AND(B291&gt;1400,B291&lt;=2000),$I$250,IF(AND(B291&gt;2000,B291&lt;=2600),$I$251,IF(B291&gt;2600,$I$252))))))))</f>
        <v>20.2</v>
      </c>
      <c r="I291" s="532">
        <f>IF(A291&lt;=200,$H$246,IF(AND(A291&gt;200,A291&lt;=400),$H$247,IF(AND(A291&gt;400,A291&lt;=600),$H$248,IF(AND(A291&gt;600,A291&lt;=800),$H$249,IF(AND(A291&gt;800,A291&lt;=1400),$H$250,IF(AND(A291&gt;1400,A291&lt;=2000),$H$251,IF(AND(A291&gt;2000,A291&lt;=2600),$H$252,IF(A291&gt;2600,$H$253))))))))</f>
        <v>1400</v>
      </c>
      <c r="J291" s="532">
        <f>IF(A291&lt;=200,$H$244,IF(AND(A291&gt;200,A291&lt;=400),$H$246,IF(AND(A291&gt;400,A291&lt;=600),$H$247,IF(AND(A291&gt;600,A291&lt;=800),$H$248,IF(AND(A291&gt;800,A291&lt;=1400),$H$249,IF(AND(A291&gt;1400,A291&lt;=2000),$H$250,IF(AND(A291&gt;2000,A291&lt;=2600),$H$251,IF(A291&gt;2600,$H$252))))))))</f>
        <v>800</v>
      </c>
      <c r="K291" s="533">
        <f>ABS(H291-G291)</f>
        <v>13.5</v>
      </c>
      <c r="L291" s="534">
        <f>I291-J291</f>
        <v>600</v>
      </c>
      <c r="M291" s="533">
        <f>((A291-J291)*K291)/L291</f>
        <v>3.7272607510931106</v>
      </c>
      <c r="N291" s="528">
        <f>IF(A291&lt;H279,H291,G291)</f>
        <v>6.7</v>
      </c>
      <c r="O291" s="204">
        <f>IF(H291&lt;G291,H291+M291,H291-M291)</f>
        <v>16.47273924890689</v>
      </c>
      <c r="P291" s="200">
        <f>A291/(S291*F291*E291)</f>
        <v>1005.8917014394959</v>
      </c>
      <c r="Q291" s="204">
        <f>1-EXP(-0.000879*P291)</f>
        <v>0.58694676894161191</v>
      </c>
      <c r="R291" s="204">
        <f>(Q291)+(O291/100)</f>
        <v>0.75167416143068078</v>
      </c>
      <c r="S291" s="95">
        <f t="shared" si="70"/>
        <v>0.96</v>
      </c>
      <c r="T291" s="204">
        <f>X291/$H$121</f>
        <v>0.86225231091906629</v>
      </c>
      <c r="U291" s="202" t="str">
        <f>IF(R291&lt;=0.35,$D$238,IF(AND(R291&gt;0.35,R291&lt;=0.5),$D$239,IF(AND(R291&gt;0.5,R291&lt;=0.65),$D$240,IF(AND(R291&gt;0.65,R291&lt;=0.8),$D$241,IF(R291&gt;0.8,$D$242)))))</f>
        <v>D</v>
      </c>
      <c r="V291" s="202" t="str">
        <f>IF(R291&lt;=0.4,$D$238,IF(AND(R291&gt;0.4,R291&lt;=0.55),$D$239,IF(AND(R291&gt;0.55,R291&lt;=0.7),$D$240,IF(AND(R291&gt;0.7,R291&lt;=0.85),$D$241,IF(R291&gt;0.85,$D$242)))))</f>
        <v>D</v>
      </c>
      <c r="W291" s="202" t="str">
        <f>IF(T291&gt;0.917,$D$238,IF(AND(T291&lt;0.917,T291&gt;=0.833),$D$239,IF(AND(T291&lt;0.833,T291&gt;=0.75),$D$240,IF(AND(T291&lt;0.75,T291&gt;=0.667),$D$241,IF(T291&lt;=0.667,$D$242)))))</f>
        <v>B</v>
      </c>
      <c r="X291" s="200">
        <f>$H$121-(0.0125*P291)-(G291/100)</f>
        <v>79.126020398672978</v>
      </c>
      <c r="Y291">
        <v>32</v>
      </c>
      <c r="Z291" s="61"/>
    </row>
    <row r="292" spans="1:26" x14ac:dyDescent="0.25">
      <c r="A292" s="36"/>
      <c r="B292" s="259"/>
      <c r="C292" s="113"/>
      <c r="D292" s="129"/>
      <c r="F292" s="113"/>
      <c r="G292" s="60"/>
      <c r="H292" s="60"/>
      <c r="I292" s="60"/>
      <c r="J292" s="60"/>
      <c r="K292" s="60"/>
      <c r="L292" s="60"/>
      <c r="M292" s="60"/>
      <c r="N292" s="60"/>
      <c r="P292" s="110"/>
      <c r="Q292" s="110"/>
      <c r="R292" s="110"/>
      <c r="S292" s="112"/>
      <c r="T292" s="508"/>
      <c r="U292" s="112"/>
      <c r="V292" s="110"/>
      <c r="X292" s="509"/>
      <c r="Z292" s="61"/>
    </row>
    <row r="293" spans="1:26" x14ac:dyDescent="0.25">
      <c r="A293" s="164" t="s">
        <v>107</v>
      </c>
      <c r="B293" s="105" t="s">
        <v>18</v>
      </c>
      <c r="C293" s="105" t="s">
        <v>130</v>
      </c>
      <c r="D293" s="125" t="s">
        <v>124</v>
      </c>
      <c r="E293" s="41" t="s">
        <v>111</v>
      </c>
      <c r="F293" s="41" t="s">
        <v>110</v>
      </c>
      <c r="G293" s="535" t="s">
        <v>139</v>
      </c>
      <c r="H293" s="526" t="s">
        <v>507</v>
      </c>
      <c r="I293" s="526" t="s">
        <v>482</v>
      </c>
      <c r="J293" s="526" t="s">
        <v>508</v>
      </c>
      <c r="K293" s="526" t="s">
        <v>509</v>
      </c>
      <c r="L293" s="526" t="s">
        <v>510</v>
      </c>
      <c r="M293" s="526" t="s">
        <v>511</v>
      </c>
      <c r="N293" s="526" t="s">
        <v>512</v>
      </c>
      <c r="O293" s="125" t="s">
        <v>513</v>
      </c>
      <c r="P293" s="41" t="s">
        <v>152</v>
      </c>
      <c r="Q293" s="125" t="s">
        <v>162</v>
      </c>
      <c r="R293" s="125" t="s">
        <v>158</v>
      </c>
      <c r="S293" s="41" t="s">
        <v>149</v>
      </c>
      <c r="T293" s="125" t="s">
        <v>159</v>
      </c>
      <c r="U293" s="125" t="s">
        <v>155</v>
      </c>
      <c r="V293" s="125" t="s">
        <v>156</v>
      </c>
      <c r="W293" s="125" t="s">
        <v>157</v>
      </c>
      <c r="X293" s="41" t="s">
        <v>153</v>
      </c>
    </row>
    <row r="294" spans="1:26" x14ac:dyDescent="0.25">
      <c r="A294" s="69">
        <f t="shared" ref="A294:A324" si="71">J40/12</f>
        <v>375</v>
      </c>
      <c r="B294" s="107">
        <v>0</v>
      </c>
      <c r="C294" s="107">
        <f t="shared" ref="C294:C324" si="72">IF(A294&lt;=100,$J$153,IF(AND(A294&gt;100,A294&lt;=200),$J$154, IF(AND(A294&gt;200,A294&lt;=300),$J$155,IF(AND(A294&gt;300,A294&lt;=400),$J$156,IF(AND(A294&gt;400,A294&lt;=500),$J$157,IF(AND(A294&gt;500,A294&lt;=600),$J$158,IF(AND(A294&gt;600,A294&lt;=700),$J$159,IF(AND(A294&gt;700,A294&lt;=800),$J$160, IF(A294&gt;800,$J$161)))))))))</f>
        <v>1.3</v>
      </c>
      <c r="D294" s="35">
        <f t="shared" ref="D294:D326" si="73">$J$162</f>
        <v>1</v>
      </c>
      <c r="E294" s="95">
        <f>1/(1+$I$148*(C294-1)+$I$149*(D294-1))</f>
        <v>0.9900499975248751</v>
      </c>
      <c r="F294" s="107">
        <f t="shared" ref="F294:F324" si="74">IF(A294&lt;=100,$I$168,IF(AND(A294&gt;100,A294&lt;=200),$I$169, IF(AND(A294&gt;200,A294&lt;=300),$I$170,IF(AND(A294&gt;300,A294&lt;=400),$I$171,IF(AND(A294&gt;400,A294&lt;=500),$I$172,IF(AND(A294&gt;500,A294&lt;=600),$I$173,IF(AND(A294&gt;600,A294&lt;=700),$I$174,IF(AND(A294&gt;700,A294&lt;=800),$I$175, IF(A294&gt;800,$I$176)))))))))</f>
        <v>1</v>
      </c>
      <c r="G294" s="527">
        <f t="shared" ref="G294:G324" si="75">IF(A294&lt;=200,$L$246,IF(AND(A294&gt;200,A294&lt;=400),$L$247,IF(AND(A294&gt;400,A294&lt;=600),$L$248,IF(AND(A294&gt;600,A294&lt;=800),$L$249,IF(AND(A294&gt;800,A294&lt;=1400),$L$250,IF(AND(A294&gt;1400,A294&lt;=2000),$L$251,IF(AND(A294&gt;2000,A294&lt;=2600),$L$252,IF(A294&gt;2600,$L$253))))))))</f>
        <v>22.7</v>
      </c>
      <c r="H294" s="527">
        <f t="shared" ref="H294:H324" si="76">IF(B294&lt;=200,$L$245,IF(AND(B294&gt;200,B294&lt;=400),$L$246,IF(AND(B294&gt;400,B294&lt;=600),$L$247,IF(AND(B294&gt;600,B294&lt;=800),$L$248,IF(AND(B294&gt;800,B294&lt;=1400),$L$249,IF(AND(B294&gt;1400,B294&lt;=2000),$L$250,IF(AND(B294&gt;2000,B294&lt;=2600),$L$251,IF(B294&gt;2600,$L$252))))))))</f>
        <v>20.2</v>
      </c>
      <c r="I294" s="528">
        <f t="shared" ref="I294:I324" si="77">IF(A294&lt;=200,$K$246,IF(AND(A294&gt;200,A294&lt;=400),$K$247,IF(AND(A294&gt;400,A294&lt;=600),$K$248,IF(AND(A294&gt;600,A294&lt;=800),$K$249,IF(AND(A294&gt;800,A294&lt;=1400),$K$250,IF(AND(A294&gt;1400,A294&lt;=2000),$K$251,IF(AND(A294&gt;2000,A294&lt;=2600),$K$252,IF(A294&gt;2600,$K$253))))))))</f>
        <v>400</v>
      </c>
      <c r="J294" s="528">
        <f t="shared" ref="J294:J324" si="78">IF(A294&lt;=200,$K$244,IF(AND(A294&gt;200,A294&lt;=400),$K$246,IF(AND(A294&gt;400,A294&lt;=600),$K$247,IF(AND(A294&gt;600,A294&lt;=800),$K$248,IF(AND(A294&gt;800,A294&lt;=1400),$K$249,IF(AND(A294&gt;1400,A294&lt;=2000),$K$250,IF(AND(A294&gt;2000,A294&lt;=2600),$K$251,IF(A294&gt;2600,$K$252))))))))</f>
        <v>200</v>
      </c>
      <c r="K294" s="529">
        <f t="shared" ref="K294:K324" si="79">ABS(H294-G294)</f>
        <v>2.5</v>
      </c>
      <c r="L294" s="530">
        <f>I294-J294</f>
        <v>200</v>
      </c>
      <c r="M294" s="529">
        <f t="shared" ref="M294:M324" si="80">((A294-J294)*K294)/L294</f>
        <v>2.1875</v>
      </c>
      <c r="N294" s="528">
        <f>IF(G294&lt;H294,G294,H294)</f>
        <v>20.2</v>
      </c>
      <c r="O294" s="204">
        <f t="shared" ref="O294:O324" si="81">IF(H294&lt;G294,H294+M294,H294-M294)</f>
        <v>22.387499999999999</v>
      </c>
      <c r="P294" s="200">
        <f t="shared" ref="P294:P324" si="82">A294/(S294*F294*E294)</f>
        <v>394.55078124999994</v>
      </c>
      <c r="Q294" s="204">
        <f t="shared" ref="Q294:Q324" si="83">1-EXP(-0.000879*P294)</f>
        <v>0.29306046262313379</v>
      </c>
      <c r="R294" s="204">
        <f t="shared" ref="R294:R324" si="84">(Q294)+(O294/100)</f>
        <v>0.51693546262313372</v>
      </c>
      <c r="S294" s="95">
        <f>'DATOS DE ENTRADA'!C86</f>
        <v>0.96</v>
      </c>
      <c r="T294" s="204">
        <f t="shared" ref="T294:T324" si="85">X294/$H$131</f>
        <v>0.94544711210125132</v>
      </c>
      <c r="U294" s="202" t="str">
        <f t="shared" ref="U294:U324" si="86">IF(R294&lt;=0.35,$D$238,IF(AND(R294&gt;0.35,R294&lt;=0.5),$D$239,IF(AND(R294&gt;0.5,R294&lt;=0.65),$D$240,IF(AND(R294&gt;0.65,R294&lt;=0.8),$D$241,IF(R294&gt;0.8,$D$242)))))</f>
        <v>C</v>
      </c>
      <c r="V294" s="202" t="str">
        <f t="shared" ref="V294:V324" si="87">IF(R294&lt;=0.4,$D$238,IF(AND(R294&gt;0.4,R294&lt;=0.55),$D$239,IF(AND(R294&gt;0.55,R294&lt;=0.7),$D$240,IF(AND(R294&gt;0.7,R294&lt;=0.85),$D$241,IF(R294&gt;0.85,$D$242)))))</f>
        <v>B</v>
      </c>
      <c r="W294" s="202" t="str">
        <f t="shared" ref="W294:W324" si="88">IF(T294&gt;0.917,$D$238,IF(AND(T294&lt;0.917,T294&gt;=0.833),$D$239,IF(AND(T294&lt;0.833,T294&gt;=0.75),$D$240,IF(AND(T294&lt;0.75,T294&gt;=0.667),$D$241,IF(T294&lt;=0.667,$D$242)))))</f>
        <v>A</v>
      </c>
      <c r="X294" s="200">
        <f t="shared" ref="X294:X324" si="89">$H$131-(0.0125*P294)-(G294/100)</f>
        <v>89.407781901041673</v>
      </c>
    </row>
    <row r="295" spans="1:26" x14ac:dyDescent="0.25">
      <c r="A295" s="69">
        <f t="shared" si="71"/>
        <v>386.25</v>
      </c>
      <c r="B295" s="107">
        <v>1</v>
      </c>
      <c r="C295" s="107">
        <f t="shared" si="72"/>
        <v>1.3</v>
      </c>
      <c r="D295" s="35">
        <f t="shared" si="73"/>
        <v>1</v>
      </c>
      <c r="E295" s="95">
        <f t="shared" ref="E295:E324" si="90">1/(1+$I$148*(C295-1)+$I$149*(D295-1))</f>
        <v>0.9900499975248751</v>
      </c>
      <c r="F295" s="107">
        <f t="shared" si="74"/>
        <v>1</v>
      </c>
      <c r="G295" s="527">
        <f t="shared" si="75"/>
        <v>22.7</v>
      </c>
      <c r="H295" s="527">
        <f t="shared" si="76"/>
        <v>20.2</v>
      </c>
      <c r="I295" s="528">
        <f t="shared" si="77"/>
        <v>400</v>
      </c>
      <c r="J295" s="528">
        <f t="shared" si="78"/>
        <v>200</v>
      </c>
      <c r="K295" s="529">
        <f t="shared" si="79"/>
        <v>2.5</v>
      </c>
      <c r="L295" s="530">
        <f t="shared" ref="L295:L324" si="91">I295-J295</f>
        <v>200</v>
      </c>
      <c r="M295" s="529">
        <f t="shared" si="80"/>
        <v>2.328125</v>
      </c>
      <c r="N295" s="528">
        <f t="shared" ref="N295:N324" si="92">IF(G295&lt;H295,G295,H295)</f>
        <v>20.2</v>
      </c>
      <c r="O295" s="204">
        <f t="shared" si="81"/>
        <v>22.528124999999999</v>
      </c>
      <c r="P295" s="200">
        <f t="shared" si="82"/>
        <v>406.38730468749998</v>
      </c>
      <c r="Q295" s="204">
        <f t="shared" si="83"/>
        <v>0.30037754596551325</v>
      </c>
      <c r="R295" s="204">
        <f t="shared" si="84"/>
        <v>0.52565879596551324</v>
      </c>
      <c r="S295" s="95">
        <f>S294</f>
        <v>0.96</v>
      </c>
      <c r="T295" s="204">
        <f t="shared" si="85"/>
        <v>0.94388253815374956</v>
      </c>
      <c r="U295" s="202" t="str">
        <f t="shared" si="86"/>
        <v>C</v>
      </c>
      <c r="V295" s="202" t="str">
        <f t="shared" si="87"/>
        <v>B</v>
      </c>
      <c r="W295" s="202" t="str">
        <f t="shared" si="88"/>
        <v>A</v>
      </c>
      <c r="X295" s="200">
        <f t="shared" si="89"/>
        <v>89.259825358072931</v>
      </c>
    </row>
    <row r="296" spans="1:26" x14ac:dyDescent="0.25">
      <c r="A296" s="69">
        <f t="shared" si="71"/>
        <v>397.83749999999986</v>
      </c>
      <c r="B296" s="107">
        <v>2</v>
      </c>
      <c r="C296" s="107">
        <f t="shared" si="72"/>
        <v>1.3</v>
      </c>
      <c r="D296" s="35">
        <f t="shared" si="73"/>
        <v>1</v>
      </c>
      <c r="E296" s="95">
        <f t="shared" si="90"/>
        <v>0.9900499975248751</v>
      </c>
      <c r="F296" s="107">
        <f t="shared" si="74"/>
        <v>1</v>
      </c>
      <c r="G296" s="527">
        <f t="shared" si="75"/>
        <v>22.7</v>
      </c>
      <c r="H296" s="527">
        <f t="shared" si="76"/>
        <v>20.2</v>
      </c>
      <c r="I296" s="528">
        <f t="shared" si="77"/>
        <v>400</v>
      </c>
      <c r="J296" s="528">
        <f t="shared" si="78"/>
        <v>200</v>
      </c>
      <c r="K296" s="529">
        <f t="shared" si="79"/>
        <v>2.5</v>
      </c>
      <c r="L296" s="530">
        <f t="shared" si="91"/>
        <v>200</v>
      </c>
      <c r="M296" s="529">
        <f t="shared" si="80"/>
        <v>2.4729687499999984</v>
      </c>
      <c r="N296" s="528">
        <f t="shared" si="92"/>
        <v>20.2</v>
      </c>
      <c r="O296" s="204">
        <f t="shared" si="81"/>
        <v>22.672968749999999</v>
      </c>
      <c r="P296" s="200">
        <f t="shared" si="82"/>
        <v>418.5789238281248</v>
      </c>
      <c r="Q296" s="204">
        <f t="shared" si="83"/>
        <v>0.30783497339641552</v>
      </c>
      <c r="R296" s="204">
        <f t="shared" si="84"/>
        <v>0.53456466089641552</v>
      </c>
      <c r="S296" s="95">
        <f t="shared" ref="S296:S326" si="93">S295</f>
        <v>0.96</v>
      </c>
      <c r="T296" s="204">
        <f t="shared" si="85"/>
        <v>0.94227102698782272</v>
      </c>
      <c r="U296" s="202" t="str">
        <f t="shared" si="86"/>
        <v>C</v>
      </c>
      <c r="V296" s="202" t="str">
        <f t="shared" si="87"/>
        <v>B</v>
      </c>
      <c r="W296" s="202" t="str">
        <f t="shared" si="88"/>
        <v>A</v>
      </c>
      <c r="X296" s="200">
        <f t="shared" si="89"/>
        <v>89.107430118815117</v>
      </c>
    </row>
    <row r="297" spans="1:26" x14ac:dyDescent="0.25">
      <c r="A297" s="69">
        <f t="shared" si="71"/>
        <v>409.77262500000001</v>
      </c>
      <c r="B297" s="107">
        <v>3</v>
      </c>
      <c r="C297" s="107">
        <f t="shared" si="72"/>
        <v>1.2</v>
      </c>
      <c r="D297" s="35">
        <f t="shared" si="73"/>
        <v>1</v>
      </c>
      <c r="E297" s="95">
        <f t="shared" si="90"/>
        <v>0.99334459123870078</v>
      </c>
      <c r="F297" s="107">
        <f t="shared" si="74"/>
        <v>1</v>
      </c>
      <c r="G297" s="527">
        <f t="shared" si="75"/>
        <v>18.7</v>
      </c>
      <c r="H297" s="527">
        <f t="shared" si="76"/>
        <v>20.2</v>
      </c>
      <c r="I297" s="528">
        <f t="shared" si="77"/>
        <v>600</v>
      </c>
      <c r="J297" s="528">
        <f t="shared" si="78"/>
        <v>400</v>
      </c>
      <c r="K297" s="529">
        <f t="shared" si="79"/>
        <v>1.5</v>
      </c>
      <c r="L297" s="530">
        <f t="shared" si="91"/>
        <v>200</v>
      </c>
      <c r="M297" s="529">
        <f t="shared" si="80"/>
        <v>7.3294687500000039E-2</v>
      </c>
      <c r="N297" s="528">
        <f t="shared" si="92"/>
        <v>18.7</v>
      </c>
      <c r="O297" s="204">
        <f t="shared" si="81"/>
        <v>20.1267053125</v>
      </c>
      <c r="P297" s="200">
        <f t="shared" si="82"/>
        <v>429.70635582031247</v>
      </c>
      <c r="Q297" s="204">
        <f t="shared" si="83"/>
        <v>0.31457204691562335</v>
      </c>
      <c r="R297" s="204">
        <f t="shared" si="84"/>
        <v>0.51583910004062339</v>
      </c>
      <c r="S297" s="95">
        <f t="shared" si="93"/>
        <v>0.96</v>
      </c>
      <c r="T297" s="204">
        <f t="shared" si="85"/>
        <v>0.94122316410552798</v>
      </c>
      <c r="U297" s="202" t="str">
        <f t="shared" si="86"/>
        <v>C</v>
      </c>
      <c r="V297" s="202" t="str">
        <f t="shared" si="87"/>
        <v>B</v>
      </c>
      <c r="W297" s="202" t="str">
        <f t="shared" si="88"/>
        <v>A</v>
      </c>
      <c r="X297" s="200">
        <f t="shared" si="89"/>
        <v>89.008337218912772</v>
      </c>
    </row>
    <row r="298" spans="1:26" x14ac:dyDescent="0.25">
      <c r="A298" s="69">
        <f t="shared" si="71"/>
        <v>422.06580375000004</v>
      </c>
      <c r="B298" s="107">
        <v>4</v>
      </c>
      <c r="C298" s="107">
        <f t="shared" si="72"/>
        <v>1.2</v>
      </c>
      <c r="D298" s="35">
        <f t="shared" si="73"/>
        <v>1</v>
      </c>
      <c r="E298" s="95">
        <f t="shared" si="90"/>
        <v>0.99334459123870078</v>
      </c>
      <c r="F298" s="107">
        <f t="shared" si="74"/>
        <v>1</v>
      </c>
      <c r="G298" s="527">
        <f t="shared" si="75"/>
        <v>18.7</v>
      </c>
      <c r="H298" s="527">
        <f t="shared" si="76"/>
        <v>20.2</v>
      </c>
      <c r="I298" s="528">
        <f t="shared" si="77"/>
        <v>600</v>
      </c>
      <c r="J298" s="528">
        <f t="shared" si="78"/>
        <v>400</v>
      </c>
      <c r="K298" s="529">
        <f t="shared" si="79"/>
        <v>1.5</v>
      </c>
      <c r="L298" s="530">
        <f t="shared" si="91"/>
        <v>200</v>
      </c>
      <c r="M298" s="529">
        <f t="shared" si="80"/>
        <v>0.16549352812500032</v>
      </c>
      <c r="N298" s="528">
        <f t="shared" si="92"/>
        <v>18.7</v>
      </c>
      <c r="O298" s="204">
        <f t="shared" si="81"/>
        <v>20.034506471874998</v>
      </c>
      <c r="P298" s="200">
        <f t="shared" si="82"/>
        <v>442.59754649492191</v>
      </c>
      <c r="Q298" s="204">
        <f t="shared" si="83"/>
        <v>0.32229503686550698</v>
      </c>
      <c r="R298" s="204">
        <f t="shared" si="84"/>
        <v>0.522640101584257</v>
      </c>
      <c r="S298" s="95">
        <f t="shared" si="93"/>
        <v>0.96</v>
      </c>
      <c r="T298" s="204">
        <f t="shared" si="85"/>
        <v>0.93951918225745668</v>
      </c>
      <c r="U298" s="202" t="str">
        <f t="shared" si="86"/>
        <v>C</v>
      </c>
      <c r="V298" s="202" t="str">
        <f t="shared" si="87"/>
        <v>B</v>
      </c>
      <c r="W298" s="202" t="str">
        <f t="shared" si="88"/>
        <v>A</v>
      </c>
      <c r="X298" s="200">
        <f t="shared" si="89"/>
        <v>88.847197335480161</v>
      </c>
    </row>
    <row r="299" spans="1:26" x14ac:dyDescent="0.25">
      <c r="A299" s="69">
        <f t="shared" si="71"/>
        <v>434.72777786249998</v>
      </c>
      <c r="B299" s="107">
        <v>5</v>
      </c>
      <c r="C299" s="107">
        <f t="shared" si="72"/>
        <v>1.2</v>
      </c>
      <c r="D299" s="35">
        <f t="shared" si="73"/>
        <v>1</v>
      </c>
      <c r="E299" s="95">
        <f t="shared" si="90"/>
        <v>0.99334459123870078</v>
      </c>
      <c r="F299" s="107">
        <f t="shared" si="74"/>
        <v>1</v>
      </c>
      <c r="G299" s="527">
        <f t="shared" si="75"/>
        <v>18.7</v>
      </c>
      <c r="H299" s="527">
        <f t="shared" si="76"/>
        <v>20.2</v>
      </c>
      <c r="I299" s="528">
        <f t="shared" si="77"/>
        <v>600</v>
      </c>
      <c r="J299" s="528">
        <f t="shared" si="78"/>
        <v>400</v>
      </c>
      <c r="K299" s="529">
        <f t="shared" si="79"/>
        <v>1.5</v>
      </c>
      <c r="L299" s="530">
        <f t="shared" si="91"/>
        <v>200</v>
      </c>
      <c r="M299" s="529">
        <f t="shared" si="80"/>
        <v>0.26045833396874984</v>
      </c>
      <c r="N299" s="528">
        <f t="shared" si="92"/>
        <v>18.7</v>
      </c>
      <c r="O299" s="204">
        <f t="shared" si="81"/>
        <v>19.93954166603125</v>
      </c>
      <c r="P299" s="200">
        <f t="shared" si="82"/>
        <v>455.87547288976947</v>
      </c>
      <c r="Q299" s="204">
        <f t="shared" si="83"/>
        <v>0.33015875381788562</v>
      </c>
      <c r="R299" s="204">
        <f t="shared" si="84"/>
        <v>0.52955417047819808</v>
      </c>
      <c r="S299" s="95">
        <f t="shared" si="93"/>
        <v>0.96</v>
      </c>
      <c r="T299" s="204">
        <f t="shared" si="85"/>
        <v>0.93776408095394315</v>
      </c>
      <c r="U299" s="202" t="str">
        <f t="shared" si="86"/>
        <v>C</v>
      </c>
      <c r="V299" s="202" t="str">
        <f t="shared" si="87"/>
        <v>B</v>
      </c>
      <c r="W299" s="202" t="str">
        <f t="shared" si="88"/>
        <v>A</v>
      </c>
      <c r="X299" s="200">
        <f t="shared" si="89"/>
        <v>88.681223255544566</v>
      </c>
    </row>
    <row r="300" spans="1:26" x14ac:dyDescent="0.25">
      <c r="A300" s="69">
        <f t="shared" si="71"/>
        <v>447.76961119837489</v>
      </c>
      <c r="B300" s="107">
        <v>6</v>
      </c>
      <c r="C300" s="107">
        <f t="shared" si="72"/>
        <v>1.2</v>
      </c>
      <c r="D300" s="35">
        <f t="shared" si="73"/>
        <v>1</v>
      </c>
      <c r="E300" s="95">
        <f t="shared" si="90"/>
        <v>0.99334459123870078</v>
      </c>
      <c r="F300" s="107">
        <f t="shared" si="74"/>
        <v>1</v>
      </c>
      <c r="G300" s="527">
        <f t="shared" si="75"/>
        <v>18.7</v>
      </c>
      <c r="H300" s="527">
        <f t="shared" si="76"/>
        <v>20.2</v>
      </c>
      <c r="I300" s="528">
        <f t="shared" si="77"/>
        <v>600</v>
      </c>
      <c r="J300" s="528">
        <f t="shared" si="78"/>
        <v>400</v>
      </c>
      <c r="K300" s="529">
        <f t="shared" si="79"/>
        <v>1.5</v>
      </c>
      <c r="L300" s="530">
        <f t="shared" si="91"/>
        <v>200</v>
      </c>
      <c r="M300" s="529">
        <f t="shared" si="80"/>
        <v>0.35827208398781168</v>
      </c>
      <c r="N300" s="528">
        <f t="shared" si="92"/>
        <v>18.7</v>
      </c>
      <c r="O300" s="204">
        <f t="shared" si="81"/>
        <v>19.841727916012189</v>
      </c>
      <c r="P300" s="200">
        <f t="shared" si="82"/>
        <v>469.55173707646247</v>
      </c>
      <c r="Q300" s="204">
        <f t="shared" si="83"/>
        <v>0.33816299997493504</v>
      </c>
      <c r="R300" s="204">
        <f t="shared" si="84"/>
        <v>0.5365802791350569</v>
      </c>
      <c r="S300" s="95">
        <f t="shared" si="93"/>
        <v>0.96</v>
      </c>
      <c r="T300" s="204">
        <f t="shared" si="85"/>
        <v>0.93595632661132411</v>
      </c>
      <c r="U300" s="202" t="str">
        <f t="shared" si="86"/>
        <v>C</v>
      </c>
      <c r="V300" s="202" t="str">
        <f t="shared" si="87"/>
        <v>B</v>
      </c>
      <c r="W300" s="202" t="str">
        <f t="shared" si="88"/>
        <v>A</v>
      </c>
      <c r="X300" s="200">
        <f t="shared" si="89"/>
        <v>88.510269953210894</v>
      </c>
    </row>
    <row r="301" spans="1:26" x14ac:dyDescent="0.25">
      <c r="A301" s="69">
        <f t="shared" si="71"/>
        <v>461.20269953432626</v>
      </c>
      <c r="B301" s="107">
        <v>7</v>
      </c>
      <c r="C301" s="107">
        <f t="shared" si="72"/>
        <v>1.2</v>
      </c>
      <c r="D301" s="35">
        <f t="shared" si="73"/>
        <v>1</v>
      </c>
      <c r="E301" s="95">
        <f t="shared" si="90"/>
        <v>0.99334459123870078</v>
      </c>
      <c r="F301" s="107">
        <f t="shared" si="74"/>
        <v>1</v>
      </c>
      <c r="G301" s="527">
        <f t="shared" si="75"/>
        <v>18.7</v>
      </c>
      <c r="H301" s="527">
        <f t="shared" si="76"/>
        <v>20.2</v>
      </c>
      <c r="I301" s="528">
        <f t="shared" si="77"/>
        <v>600</v>
      </c>
      <c r="J301" s="528">
        <f t="shared" si="78"/>
        <v>400</v>
      </c>
      <c r="K301" s="529">
        <f t="shared" si="79"/>
        <v>1.5</v>
      </c>
      <c r="L301" s="530">
        <f t="shared" si="91"/>
        <v>200</v>
      </c>
      <c r="M301" s="529">
        <f t="shared" si="80"/>
        <v>0.45902024650744694</v>
      </c>
      <c r="N301" s="528">
        <f t="shared" si="92"/>
        <v>18.7</v>
      </c>
      <c r="O301" s="204">
        <f t="shared" si="81"/>
        <v>19.740979753492553</v>
      </c>
      <c r="P301" s="200">
        <f t="shared" si="82"/>
        <v>483.63828918875646</v>
      </c>
      <c r="Q301" s="204">
        <f t="shared" si="83"/>
        <v>0.34630739188894211</v>
      </c>
      <c r="R301" s="204">
        <f t="shared" si="84"/>
        <v>0.5437171894238676</v>
      </c>
      <c r="S301" s="95">
        <f t="shared" si="93"/>
        <v>0.96</v>
      </c>
      <c r="T301" s="204">
        <f t="shared" si="85"/>
        <v>0.93409433963842659</v>
      </c>
      <c r="U301" s="202" t="str">
        <f t="shared" si="86"/>
        <v>C</v>
      </c>
      <c r="V301" s="202" t="str">
        <f t="shared" si="87"/>
        <v>B</v>
      </c>
      <c r="W301" s="202" t="str">
        <f t="shared" si="88"/>
        <v>A</v>
      </c>
      <c r="X301" s="200">
        <f t="shared" si="89"/>
        <v>88.334188051807217</v>
      </c>
    </row>
    <row r="302" spans="1:26" x14ac:dyDescent="0.25">
      <c r="A302" s="69">
        <f t="shared" si="71"/>
        <v>475.03878052035606</v>
      </c>
      <c r="B302" s="107">
        <v>8</v>
      </c>
      <c r="C302" s="107">
        <f t="shared" si="72"/>
        <v>1.2</v>
      </c>
      <c r="D302" s="35">
        <f t="shared" si="73"/>
        <v>1</v>
      </c>
      <c r="E302" s="95">
        <f t="shared" si="90"/>
        <v>0.99334459123870078</v>
      </c>
      <c r="F302" s="107">
        <f t="shared" si="74"/>
        <v>1</v>
      </c>
      <c r="G302" s="527">
        <f t="shared" si="75"/>
        <v>18.7</v>
      </c>
      <c r="H302" s="527">
        <f t="shared" si="76"/>
        <v>20.2</v>
      </c>
      <c r="I302" s="528">
        <f t="shared" si="77"/>
        <v>600</v>
      </c>
      <c r="J302" s="528">
        <f t="shared" si="78"/>
        <v>400</v>
      </c>
      <c r="K302" s="529">
        <f t="shared" si="79"/>
        <v>1.5</v>
      </c>
      <c r="L302" s="530">
        <f t="shared" si="91"/>
        <v>200</v>
      </c>
      <c r="M302" s="529">
        <f t="shared" si="80"/>
        <v>0.56279085390267047</v>
      </c>
      <c r="N302" s="528">
        <f t="shared" si="92"/>
        <v>18.7</v>
      </c>
      <c r="O302" s="204">
        <f t="shared" si="81"/>
        <v>19.63720914609733</v>
      </c>
      <c r="P302" s="200">
        <f t="shared" si="82"/>
        <v>498.1474378644192</v>
      </c>
      <c r="Q302" s="204">
        <f t="shared" si="83"/>
        <v>0.3545913506259144</v>
      </c>
      <c r="R302" s="204">
        <f t="shared" si="84"/>
        <v>0.55096344208688774</v>
      </c>
      <c r="S302" s="95">
        <f t="shared" si="93"/>
        <v>0.96</v>
      </c>
      <c r="T302" s="204">
        <f t="shared" si="85"/>
        <v>0.9321764930563422</v>
      </c>
      <c r="U302" s="202" t="str">
        <f t="shared" si="86"/>
        <v>C</v>
      </c>
      <c r="V302" s="202" t="str">
        <f t="shared" si="87"/>
        <v>C</v>
      </c>
      <c r="W302" s="202" t="str">
        <f t="shared" si="88"/>
        <v>A</v>
      </c>
      <c r="X302" s="200">
        <f t="shared" si="89"/>
        <v>88.152823693361441</v>
      </c>
    </row>
    <row r="303" spans="1:26" x14ac:dyDescent="0.25">
      <c r="A303" s="69">
        <f t="shared" si="71"/>
        <v>489.28994393596668</v>
      </c>
      <c r="B303" s="107">
        <v>9</v>
      </c>
      <c r="C303" s="107">
        <f t="shared" si="72"/>
        <v>1.2</v>
      </c>
      <c r="D303" s="35">
        <f t="shared" si="73"/>
        <v>1</v>
      </c>
      <c r="E303" s="95">
        <f t="shared" si="90"/>
        <v>0.99334459123870078</v>
      </c>
      <c r="F303" s="107">
        <f t="shared" si="74"/>
        <v>1</v>
      </c>
      <c r="G303" s="527">
        <f t="shared" si="75"/>
        <v>18.7</v>
      </c>
      <c r="H303" s="527">
        <f t="shared" si="76"/>
        <v>20.2</v>
      </c>
      <c r="I303" s="528">
        <f t="shared" si="77"/>
        <v>600</v>
      </c>
      <c r="J303" s="528">
        <f t="shared" si="78"/>
        <v>400</v>
      </c>
      <c r="K303" s="529">
        <f t="shared" si="79"/>
        <v>1.5</v>
      </c>
      <c r="L303" s="530">
        <f t="shared" si="91"/>
        <v>200</v>
      </c>
      <c r="M303" s="529">
        <f t="shared" si="80"/>
        <v>0.66967457951975007</v>
      </c>
      <c r="N303" s="528">
        <f t="shared" si="92"/>
        <v>18.7</v>
      </c>
      <c r="O303" s="204">
        <f t="shared" si="81"/>
        <v>19.530325420480249</v>
      </c>
      <c r="P303" s="200">
        <f t="shared" si="82"/>
        <v>513.09186100035174</v>
      </c>
      <c r="Q303" s="204">
        <f t="shared" si="83"/>
        <v>0.36301409181887367</v>
      </c>
      <c r="R303" s="204">
        <f t="shared" si="84"/>
        <v>0.55831734602367611</v>
      </c>
      <c r="S303" s="95">
        <f t="shared" si="93"/>
        <v>0.96</v>
      </c>
      <c r="T303" s="204">
        <f t="shared" si="85"/>
        <v>0.93020111107679526</v>
      </c>
      <c r="U303" s="202" t="str">
        <f t="shared" si="86"/>
        <v>C</v>
      </c>
      <c r="V303" s="202" t="str">
        <f t="shared" si="87"/>
        <v>C</v>
      </c>
      <c r="W303" s="202" t="str">
        <f t="shared" si="88"/>
        <v>A</v>
      </c>
      <c r="X303" s="200">
        <f t="shared" si="89"/>
        <v>87.966018404162284</v>
      </c>
    </row>
    <row r="304" spans="1:26" x14ac:dyDescent="0.25">
      <c r="A304" s="511">
        <f t="shared" si="71"/>
        <v>503.96864225404573</v>
      </c>
      <c r="B304" s="107">
        <v>10</v>
      </c>
      <c r="C304" s="107">
        <f t="shared" si="72"/>
        <v>1.1000000000000001</v>
      </c>
      <c r="D304" s="435">
        <f t="shared" si="73"/>
        <v>1</v>
      </c>
      <c r="E304" s="123">
        <f t="shared" si="90"/>
        <v>0.996661185030149</v>
      </c>
      <c r="F304" s="107">
        <f t="shared" si="74"/>
        <v>1</v>
      </c>
      <c r="G304" s="527">
        <f t="shared" si="75"/>
        <v>18.7</v>
      </c>
      <c r="H304" s="527">
        <f t="shared" si="76"/>
        <v>20.2</v>
      </c>
      <c r="I304" s="528">
        <f t="shared" si="77"/>
        <v>600</v>
      </c>
      <c r="J304" s="528">
        <f t="shared" si="78"/>
        <v>400</v>
      </c>
      <c r="K304" s="529">
        <f t="shared" si="79"/>
        <v>1.5</v>
      </c>
      <c r="L304" s="530">
        <f t="shared" si="91"/>
        <v>200</v>
      </c>
      <c r="M304" s="529">
        <f t="shared" si="80"/>
        <v>0.77976481690534305</v>
      </c>
      <c r="N304" s="528">
        <f t="shared" si="92"/>
        <v>18.7</v>
      </c>
      <c r="O304" s="204">
        <f t="shared" si="81"/>
        <v>19.420235183094658</v>
      </c>
      <c r="P304" s="200">
        <f t="shared" si="82"/>
        <v>526.72597625583001</v>
      </c>
      <c r="Q304" s="204">
        <f t="shared" si="83"/>
        <v>0.37060241612163403</v>
      </c>
      <c r="R304" s="204">
        <f t="shared" si="84"/>
        <v>0.56480476795258061</v>
      </c>
      <c r="S304" s="95">
        <f t="shared" si="93"/>
        <v>0.96</v>
      </c>
      <c r="T304" s="204">
        <f t="shared" si="85"/>
        <v>0.92839892805924007</v>
      </c>
      <c r="U304" s="202" t="str">
        <f t="shared" si="86"/>
        <v>C</v>
      </c>
      <c r="V304" s="202" t="str">
        <f t="shared" si="87"/>
        <v>C</v>
      </c>
      <c r="W304" s="202" t="str">
        <f t="shared" si="88"/>
        <v>A</v>
      </c>
      <c r="X304" s="200">
        <f t="shared" si="89"/>
        <v>87.795591963468809</v>
      </c>
    </row>
    <row r="305" spans="1:24" x14ac:dyDescent="0.25">
      <c r="A305" s="69">
        <f t="shared" si="71"/>
        <v>519.0877015216671</v>
      </c>
      <c r="B305" s="107">
        <v>11</v>
      </c>
      <c r="C305" s="107">
        <f t="shared" si="72"/>
        <v>1.1000000000000001</v>
      </c>
      <c r="D305" s="35">
        <f t="shared" si="73"/>
        <v>1</v>
      </c>
      <c r="E305" s="95">
        <f t="shared" si="90"/>
        <v>0.996661185030149</v>
      </c>
      <c r="F305" s="107">
        <f t="shared" si="74"/>
        <v>1</v>
      </c>
      <c r="G305" s="527">
        <f t="shared" si="75"/>
        <v>18.7</v>
      </c>
      <c r="H305" s="527">
        <f t="shared" si="76"/>
        <v>20.2</v>
      </c>
      <c r="I305" s="528">
        <f t="shared" si="77"/>
        <v>600</v>
      </c>
      <c r="J305" s="528">
        <f t="shared" si="78"/>
        <v>400</v>
      </c>
      <c r="K305" s="529">
        <f t="shared" si="79"/>
        <v>1.5</v>
      </c>
      <c r="L305" s="530">
        <f t="shared" si="91"/>
        <v>200</v>
      </c>
      <c r="M305" s="529">
        <f t="shared" si="80"/>
        <v>0.89315776141250325</v>
      </c>
      <c r="N305" s="528">
        <f t="shared" si="92"/>
        <v>18.7</v>
      </c>
      <c r="O305" s="204">
        <f t="shared" si="81"/>
        <v>19.306842238587496</v>
      </c>
      <c r="P305" s="200">
        <f t="shared" si="82"/>
        <v>542.5277555435049</v>
      </c>
      <c r="Q305" s="204">
        <f t="shared" si="83"/>
        <v>0.3792841667094824</v>
      </c>
      <c r="R305" s="204">
        <f t="shared" si="84"/>
        <v>0.57235258909535736</v>
      </c>
      <c r="S305" s="95">
        <f t="shared" si="93"/>
        <v>0.96</v>
      </c>
      <c r="T305" s="204">
        <f t="shared" si="85"/>
        <v>0.92631021912977995</v>
      </c>
      <c r="U305" s="202" t="str">
        <f t="shared" si="86"/>
        <v>C</v>
      </c>
      <c r="V305" s="202" t="str">
        <f t="shared" si="87"/>
        <v>C</v>
      </c>
      <c r="W305" s="202" t="str">
        <f t="shared" si="88"/>
        <v>A</v>
      </c>
      <c r="X305" s="200">
        <f t="shared" si="89"/>
        <v>87.59806972237287</v>
      </c>
    </row>
    <row r="306" spans="1:24" x14ac:dyDescent="0.25">
      <c r="A306" s="69">
        <f t="shared" si="71"/>
        <v>534.66033256731714</v>
      </c>
      <c r="B306" s="107">
        <v>12</v>
      </c>
      <c r="C306" s="107">
        <f t="shared" si="72"/>
        <v>1.1000000000000001</v>
      </c>
      <c r="D306" s="35">
        <f t="shared" si="73"/>
        <v>1</v>
      </c>
      <c r="E306" s="95">
        <f t="shared" si="90"/>
        <v>0.996661185030149</v>
      </c>
      <c r="F306" s="107">
        <f t="shared" si="74"/>
        <v>1</v>
      </c>
      <c r="G306" s="527">
        <f t="shared" si="75"/>
        <v>18.7</v>
      </c>
      <c r="H306" s="527">
        <f t="shared" si="76"/>
        <v>20.2</v>
      </c>
      <c r="I306" s="528">
        <f t="shared" si="77"/>
        <v>600</v>
      </c>
      <c r="J306" s="528">
        <f t="shared" si="78"/>
        <v>400</v>
      </c>
      <c r="K306" s="529">
        <f t="shared" si="79"/>
        <v>1.5</v>
      </c>
      <c r="L306" s="530">
        <f t="shared" si="91"/>
        <v>200</v>
      </c>
      <c r="M306" s="529">
        <f t="shared" si="80"/>
        <v>1.0099524942548785</v>
      </c>
      <c r="N306" s="528">
        <f t="shared" si="92"/>
        <v>18.7</v>
      </c>
      <c r="O306" s="204">
        <f t="shared" si="81"/>
        <v>19.19004750574512</v>
      </c>
      <c r="P306" s="200">
        <f t="shared" si="82"/>
        <v>558.80358820981007</v>
      </c>
      <c r="Q306" s="204">
        <f t="shared" si="83"/>
        <v>0.38810119046423153</v>
      </c>
      <c r="R306" s="204">
        <f t="shared" si="84"/>
        <v>0.58000166552168275</v>
      </c>
      <c r="S306" s="95">
        <f t="shared" si="93"/>
        <v>0.96</v>
      </c>
      <c r="T306" s="204">
        <f t="shared" si="85"/>
        <v>0.92415884893243616</v>
      </c>
      <c r="U306" s="202" t="str">
        <f t="shared" si="86"/>
        <v>C</v>
      </c>
      <c r="V306" s="202" t="str">
        <f t="shared" si="87"/>
        <v>C</v>
      </c>
      <c r="W306" s="202" t="str">
        <f t="shared" si="88"/>
        <v>A</v>
      </c>
      <c r="X306" s="200">
        <f t="shared" si="89"/>
        <v>87.394621814044058</v>
      </c>
    </row>
    <row r="307" spans="1:24" x14ac:dyDescent="0.25">
      <c r="A307" s="69">
        <f t="shared" si="71"/>
        <v>550.70014254433647</v>
      </c>
      <c r="B307" s="107">
        <v>13</v>
      </c>
      <c r="C307" s="107">
        <f t="shared" si="72"/>
        <v>1.1000000000000001</v>
      </c>
      <c r="D307" s="35">
        <f t="shared" si="73"/>
        <v>1</v>
      </c>
      <c r="E307" s="95">
        <f t="shared" si="90"/>
        <v>0.996661185030149</v>
      </c>
      <c r="F307" s="107">
        <f t="shared" si="74"/>
        <v>1</v>
      </c>
      <c r="G307" s="527">
        <f t="shared" si="75"/>
        <v>18.7</v>
      </c>
      <c r="H307" s="527">
        <f t="shared" si="76"/>
        <v>20.2</v>
      </c>
      <c r="I307" s="528">
        <f t="shared" si="77"/>
        <v>600</v>
      </c>
      <c r="J307" s="528">
        <f t="shared" si="78"/>
        <v>400</v>
      </c>
      <c r="K307" s="529">
        <f t="shared" si="79"/>
        <v>1.5</v>
      </c>
      <c r="L307" s="530">
        <f t="shared" si="91"/>
        <v>200</v>
      </c>
      <c r="M307" s="529">
        <f t="shared" si="80"/>
        <v>1.1302510690825236</v>
      </c>
      <c r="N307" s="528">
        <f t="shared" si="92"/>
        <v>18.7</v>
      </c>
      <c r="O307" s="204">
        <f t="shared" si="81"/>
        <v>19.069748930917477</v>
      </c>
      <c r="P307" s="200">
        <f t="shared" si="82"/>
        <v>575.56769585610425</v>
      </c>
      <c r="Q307" s="204">
        <f t="shared" si="83"/>
        <v>0.39705180898293813</v>
      </c>
      <c r="R307" s="204">
        <f t="shared" si="84"/>
        <v>0.58774929829211287</v>
      </c>
      <c r="S307" s="95">
        <f t="shared" si="93"/>
        <v>0.96</v>
      </c>
      <c r="T307" s="204">
        <f t="shared" si="85"/>
        <v>0.92194293762917212</v>
      </c>
      <c r="U307" s="202" t="str">
        <f t="shared" si="86"/>
        <v>C</v>
      </c>
      <c r="V307" s="202" t="str">
        <f t="shared" si="87"/>
        <v>C</v>
      </c>
      <c r="W307" s="202" t="str">
        <f t="shared" si="88"/>
        <v>A</v>
      </c>
      <c r="X307" s="200">
        <f t="shared" si="89"/>
        <v>87.185070468465383</v>
      </c>
    </row>
    <row r="308" spans="1:24" x14ac:dyDescent="0.25">
      <c r="A308" s="69">
        <f t="shared" si="71"/>
        <v>567.2211468206666</v>
      </c>
      <c r="B308" s="107">
        <v>14</v>
      </c>
      <c r="C308" s="107">
        <f t="shared" si="72"/>
        <v>1.1000000000000001</v>
      </c>
      <c r="D308" s="35">
        <f t="shared" si="73"/>
        <v>1</v>
      </c>
      <c r="E308" s="95">
        <f t="shared" si="90"/>
        <v>0.996661185030149</v>
      </c>
      <c r="F308" s="107">
        <f t="shared" si="74"/>
        <v>1</v>
      </c>
      <c r="G308" s="527">
        <f t="shared" si="75"/>
        <v>18.7</v>
      </c>
      <c r="H308" s="527">
        <f t="shared" si="76"/>
        <v>20.2</v>
      </c>
      <c r="I308" s="528">
        <f t="shared" si="77"/>
        <v>600</v>
      </c>
      <c r="J308" s="528">
        <f t="shared" si="78"/>
        <v>400</v>
      </c>
      <c r="K308" s="529">
        <f t="shared" si="79"/>
        <v>1.5</v>
      </c>
      <c r="L308" s="530">
        <f t="shared" si="91"/>
        <v>200</v>
      </c>
      <c r="M308" s="529">
        <f t="shared" si="80"/>
        <v>1.2541586011549994</v>
      </c>
      <c r="N308" s="528">
        <f t="shared" si="92"/>
        <v>18.7</v>
      </c>
      <c r="O308" s="204">
        <f t="shared" si="81"/>
        <v>18.945841398845001</v>
      </c>
      <c r="P308" s="200">
        <f t="shared" si="82"/>
        <v>592.83472673178733</v>
      </c>
      <c r="Q308" s="204">
        <f t="shared" si="83"/>
        <v>0.40613408937865714</v>
      </c>
      <c r="R308" s="204">
        <f t="shared" si="84"/>
        <v>0.59559250336710712</v>
      </c>
      <c r="S308" s="95">
        <f t="shared" si="93"/>
        <v>0.96</v>
      </c>
      <c r="T308" s="204">
        <f t="shared" si="85"/>
        <v>0.91966054898680993</v>
      </c>
      <c r="U308" s="202" t="str">
        <f t="shared" si="86"/>
        <v>C</v>
      </c>
      <c r="V308" s="202" t="str">
        <f t="shared" si="87"/>
        <v>C</v>
      </c>
      <c r="W308" s="202" t="str">
        <f t="shared" si="88"/>
        <v>A</v>
      </c>
      <c r="X308" s="200">
        <f t="shared" si="89"/>
        <v>86.969232582519339</v>
      </c>
    </row>
    <row r="309" spans="1:24" x14ac:dyDescent="0.25">
      <c r="A309" s="69">
        <f t="shared" si="71"/>
        <v>584.23778122528665</v>
      </c>
      <c r="B309" s="107">
        <v>15</v>
      </c>
      <c r="C309" s="107">
        <f t="shared" si="72"/>
        <v>1.1000000000000001</v>
      </c>
      <c r="D309" s="35">
        <f t="shared" si="73"/>
        <v>1</v>
      </c>
      <c r="E309" s="95">
        <f t="shared" si="90"/>
        <v>0.996661185030149</v>
      </c>
      <c r="F309" s="107">
        <f t="shared" si="74"/>
        <v>1</v>
      </c>
      <c r="G309" s="527">
        <f t="shared" si="75"/>
        <v>18.7</v>
      </c>
      <c r="H309" s="527">
        <f t="shared" si="76"/>
        <v>20.2</v>
      </c>
      <c r="I309" s="528">
        <f t="shared" si="77"/>
        <v>600</v>
      </c>
      <c r="J309" s="528">
        <f t="shared" si="78"/>
        <v>400</v>
      </c>
      <c r="K309" s="529">
        <f t="shared" si="79"/>
        <v>1.5</v>
      </c>
      <c r="L309" s="530">
        <f t="shared" si="91"/>
        <v>200</v>
      </c>
      <c r="M309" s="529">
        <f t="shared" si="80"/>
        <v>1.38178335918965</v>
      </c>
      <c r="N309" s="528">
        <f t="shared" si="92"/>
        <v>18.7</v>
      </c>
      <c r="O309" s="204">
        <f t="shared" si="81"/>
        <v>18.818216640810348</v>
      </c>
      <c r="P309" s="200">
        <f t="shared" si="82"/>
        <v>610.61976853374108</v>
      </c>
      <c r="Q309" s="204">
        <f t="shared" si="83"/>
        <v>0.41534583443888873</v>
      </c>
      <c r="R309" s="204">
        <f t="shared" si="84"/>
        <v>0.60352800084699221</v>
      </c>
      <c r="S309" s="95">
        <f t="shared" si="93"/>
        <v>0.96</v>
      </c>
      <c r="T309" s="204">
        <f t="shared" si="85"/>
        <v>0.91730968868517704</v>
      </c>
      <c r="U309" s="202" t="str">
        <f t="shared" si="86"/>
        <v>C</v>
      </c>
      <c r="V309" s="202" t="str">
        <f t="shared" si="87"/>
        <v>C</v>
      </c>
      <c r="W309" s="202" t="str">
        <f t="shared" si="88"/>
        <v>A</v>
      </c>
      <c r="X309" s="200">
        <f t="shared" si="89"/>
        <v>86.746919559994922</v>
      </c>
    </row>
    <row r="310" spans="1:24" x14ac:dyDescent="0.25">
      <c r="A310" s="69">
        <f t="shared" si="71"/>
        <v>601.76491466204516</v>
      </c>
      <c r="B310" s="107">
        <v>16</v>
      </c>
      <c r="C310" s="107">
        <f t="shared" si="72"/>
        <v>1.1000000000000001</v>
      </c>
      <c r="D310" s="35">
        <f t="shared" si="73"/>
        <v>1</v>
      </c>
      <c r="E310" s="95">
        <f t="shared" si="90"/>
        <v>0.996661185030149</v>
      </c>
      <c r="F310" s="107">
        <f t="shared" si="74"/>
        <v>1</v>
      </c>
      <c r="G310" s="527">
        <f t="shared" si="75"/>
        <v>14.1</v>
      </c>
      <c r="H310" s="527">
        <f t="shared" si="76"/>
        <v>20.2</v>
      </c>
      <c r="I310" s="528">
        <f t="shared" si="77"/>
        <v>800</v>
      </c>
      <c r="J310" s="528">
        <f t="shared" si="78"/>
        <v>600</v>
      </c>
      <c r="K310" s="529">
        <f t="shared" si="79"/>
        <v>6.1</v>
      </c>
      <c r="L310" s="530">
        <f t="shared" si="91"/>
        <v>200</v>
      </c>
      <c r="M310" s="529">
        <f t="shared" si="80"/>
        <v>5.3829897192377303E-2</v>
      </c>
      <c r="N310" s="528">
        <f t="shared" si="92"/>
        <v>14.1</v>
      </c>
      <c r="O310" s="204">
        <f t="shared" si="81"/>
        <v>20.146170102807623</v>
      </c>
      <c r="P310" s="200">
        <f t="shared" si="82"/>
        <v>628.93836158975319</v>
      </c>
      <c r="Q310" s="204">
        <f t="shared" si="83"/>
        <v>0.42468457296516782</v>
      </c>
      <c r="R310" s="204">
        <f t="shared" si="84"/>
        <v>0.62614627399324407</v>
      </c>
      <c r="S310" s="95">
        <f t="shared" si="93"/>
        <v>0.96</v>
      </c>
      <c r="T310" s="204">
        <f t="shared" si="85"/>
        <v>0.91537473190124863</v>
      </c>
      <c r="U310" s="202" t="str">
        <f t="shared" si="86"/>
        <v>C</v>
      </c>
      <c r="V310" s="202" t="str">
        <f t="shared" si="87"/>
        <v>C</v>
      </c>
      <c r="W310" s="202" t="str">
        <f t="shared" si="88"/>
        <v>B</v>
      </c>
      <c r="X310" s="200">
        <f t="shared" si="89"/>
        <v>86.563937146794757</v>
      </c>
    </row>
    <row r="311" spans="1:24" x14ac:dyDescent="0.25">
      <c r="A311" s="69">
        <f t="shared" si="71"/>
        <v>619.8178621019066</v>
      </c>
      <c r="B311" s="107">
        <v>17</v>
      </c>
      <c r="C311" s="107">
        <f t="shared" si="72"/>
        <v>1.1000000000000001</v>
      </c>
      <c r="D311" s="35">
        <f t="shared" si="73"/>
        <v>1</v>
      </c>
      <c r="E311" s="95">
        <f t="shared" si="90"/>
        <v>0.996661185030149</v>
      </c>
      <c r="F311" s="107">
        <f t="shared" si="74"/>
        <v>1</v>
      </c>
      <c r="G311" s="527">
        <f t="shared" si="75"/>
        <v>14.1</v>
      </c>
      <c r="H311" s="527">
        <f t="shared" si="76"/>
        <v>20.2</v>
      </c>
      <c r="I311" s="528">
        <f t="shared" si="77"/>
        <v>800</v>
      </c>
      <c r="J311" s="528">
        <f t="shared" si="78"/>
        <v>600</v>
      </c>
      <c r="K311" s="529">
        <f t="shared" si="79"/>
        <v>6.1</v>
      </c>
      <c r="L311" s="530">
        <f t="shared" si="91"/>
        <v>200</v>
      </c>
      <c r="M311" s="529">
        <f t="shared" si="80"/>
        <v>0.60444479410815122</v>
      </c>
      <c r="N311" s="528">
        <f t="shared" si="92"/>
        <v>14.1</v>
      </c>
      <c r="O311" s="204">
        <f t="shared" si="81"/>
        <v>19.595555205891849</v>
      </c>
      <c r="P311" s="200">
        <f t="shared" si="82"/>
        <v>647.80651243744592</v>
      </c>
      <c r="Q311" s="204">
        <f t="shared" si="83"/>
        <v>0.43414755035214614</v>
      </c>
      <c r="R311" s="204">
        <f t="shared" si="84"/>
        <v>0.6301031024110646</v>
      </c>
      <c r="S311" s="95">
        <f t="shared" si="93"/>
        <v>0.96</v>
      </c>
      <c r="T311" s="204">
        <f t="shared" si="85"/>
        <v>0.91288070420724621</v>
      </c>
      <c r="U311" s="202" t="str">
        <f t="shared" si="86"/>
        <v>C</v>
      </c>
      <c r="V311" s="202" t="str">
        <f t="shared" si="87"/>
        <v>C</v>
      </c>
      <c r="W311" s="202" t="str">
        <f t="shared" si="88"/>
        <v>B</v>
      </c>
      <c r="X311" s="200">
        <f t="shared" si="89"/>
        <v>86.328085261198595</v>
      </c>
    </row>
    <row r="312" spans="1:24" x14ac:dyDescent="0.25">
      <c r="A312" s="69">
        <f t="shared" si="71"/>
        <v>638.4123979649637</v>
      </c>
      <c r="B312" s="107">
        <v>18</v>
      </c>
      <c r="C312" s="107">
        <f t="shared" si="72"/>
        <v>1.1000000000000001</v>
      </c>
      <c r="D312" s="35">
        <f t="shared" si="73"/>
        <v>1</v>
      </c>
      <c r="E312" s="95">
        <f t="shared" si="90"/>
        <v>0.996661185030149</v>
      </c>
      <c r="F312" s="107">
        <f t="shared" si="74"/>
        <v>1</v>
      </c>
      <c r="G312" s="527">
        <f t="shared" si="75"/>
        <v>14.1</v>
      </c>
      <c r="H312" s="527">
        <f t="shared" si="76"/>
        <v>20.2</v>
      </c>
      <c r="I312" s="528">
        <f t="shared" si="77"/>
        <v>800</v>
      </c>
      <c r="J312" s="528">
        <f t="shared" si="78"/>
        <v>600</v>
      </c>
      <c r="K312" s="529">
        <f t="shared" si="79"/>
        <v>6.1</v>
      </c>
      <c r="L312" s="530">
        <f>I312-J312</f>
        <v>200</v>
      </c>
      <c r="M312" s="529">
        <f t="shared" si="80"/>
        <v>1.1715781379313928</v>
      </c>
      <c r="N312" s="528">
        <f t="shared" si="92"/>
        <v>14.1</v>
      </c>
      <c r="O312" s="204">
        <f t="shared" si="81"/>
        <v>19.028421862068605</v>
      </c>
      <c r="P312" s="200">
        <f t="shared" si="82"/>
        <v>667.24070781056912</v>
      </c>
      <c r="Q312" s="204">
        <f t="shared" si="83"/>
        <v>0.44373171946886258</v>
      </c>
      <c r="R312" s="204">
        <f t="shared" si="84"/>
        <v>0.63401593808954859</v>
      </c>
      <c r="S312" s="95">
        <f t="shared" si="93"/>
        <v>0.96</v>
      </c>
      <c r="T312" s="204">
        <f t="shared" si="85"/>
        <v>0.9103118556824239</v>
      </c>
      <c r="U312" s="202" t="str">
        <f t="shared" si="86"/>
        <v>C</v>
      </c>
      <c r="V312" s="202" t="str">
        <f t="shared" si="87"/>
        <v>C</v>
      </c>
      <c r="W312" s="202" t="str">
        <f t="shared" si="88"/>
        <v>B</v>
      </c>
      <c r="X312" s="200">
        <f t="shared" si="89"/>
        <v>86.085157819034563</v>
      </c>
    </row>
    <row r="313" spans="1:24" x14ac:dyDescent="0.25">
      <c r="A313" s="69">
        <f t="shared" si="71"/>
        <v>657.56476990391263</v>
      </c>
      <c r="B313" s="107">
        <v>19</v>
      </c>
      <c r="C313" s="107">
        <f t="shared" si="72"/>
        <v>1.1000000000000001</v>
      </c>
      <c r="D313" s="35">
        <f t="shared" si="73"/>
        <v>1</v>
      </c>
      <c r="E313" s="95">
        <f t="shared" si="90"/>
        <v>0.996661185030149</v>
      </c>
      <c r="F313" s="107">
        <f t="shared" si="74"/>
        <v>1</v>
      </c>
      <c r="G313" s="527">
        <f t="shared" si="75"/>
        <v>14.1</v>
      </c>
      <c r="H313" s="527">
        <f t="shared" si="76"/>
        <v>20.2</v>
      </c>
      <c r="I313" s="528">
        <f t="shared" si="77"/>
        <v>800</v>
      </c>
      <c r="J313" s="528">
        <f t="shared" si="78"/>
        <v>600</v>
      </c>
      <c r="K313" s="529">
        <f t="shared" si="79"/>
        <v>6.1</v>
      </c>
      <c r="L313" s="530">
        <f t="shared" si="91"/>
        <v>200</v>
      </c>
      <c r="M313" s="529">
        <f t="shared" si="80"/>
        <v>1.7557254820693353</v>
      </c>
      <c r="N313" s="528">
        <f t="shared" si="92"/>
        <v>14.1</v>
      </c>
      <c r="O313" s="204">
        <f t="shared" si="81"/>
        <v>18.444274517930666</v>
      </c>
      <c r="P313" s="200">
        <f t="shared" si="82"/>
        <v>687.25792904488628</v>
      </c>
      <c r="Q313" s="204">
        <f t="shared" si="83"/>
        <v>0.4534337319092947</v>
      </c>
      <c r="R313" s="204">
        <f t="shared" si="84"/>
        <v>0.6378764770886014</v>
      </c>
      <c r="S313" s="95">
        <f t="shared" si="93"/>
        <v>0.96</v>
      </c>
      <c r="T313" s="204">
        <f t="shared" si="85"/>
        <v>0.90766594170185666</v>
      </c>
      <c r="U313" s="202" t="str">
        <f t="shared" si="86"/>
        <v>C</v>
      </c>
      <c r="V313" s="202" t="str">
        <f t="shared" si="87"/>
        <v>C</v>
      </c>
      <c r="W313" s="202" t="str">
        <f t="shared" si="88"/>
        <v>B</v>
      </c>
      <c r="X313" s="200">
        <f t="shared" si="89"/>
        <v>85.834942553605586</v>
      </c>
    </row>
    <row r="314" spans="1:24" x14ac:dyDescent="0.25">
      <c r="A314" s="69">
        <f t="shared" si="71"/>
        <v>677.29171300103008</v>
      </c>
      <c r="B314" s="107">
        <v>20</v>
      </c>
      <c r="C314" s="107">
        <f t="shared" si="72"/>
        <v>1.1000000000000001</v>
      </c>
      <c r="D314" s="35">
        <f t="shared" si="73"/>
        <v>1</v>
      </c>
      <c r="E314" s="95">
        <f t="shared" si="90"/>
        <v>0.996661185030149</v>
      </c>
      <c r="F314" s="107">
        <f t="shared" si="74"/>
        <v>1</v>
      </c>
      <c r="G314" s="527">
        <f t="shared" si="75"/>
        <v>14.1</v>
      </c>
      <c r="H314" s="527">
        <f t="shared" si="76"/>
        <v>20.2</v>
      </c>
      <c r="I314" s="528">
        <f t="shared" si="77"/>
        <v>800</v>
      </c>
      <c r="J314" s="528">
        <f t="shared" si="78"/>
        <v>600</v>
      </c>
      <c r="K314" s="529">
        <f t="shared" si="79"/>
        <v>6.1</v>
      </c>
      <c r="L314" s="530">
        <f t="shared" si="91"/>
        <v>200</v>
      </c>
      <c r="M314" s="529">
        <f t="shared" si="80"/>
        <v>2.3573972465314172</v>
      </c>
      <c r="N314" s="528">
        <f t="shared" si="92"/>
        <v>14.1</v>
      </c>
      <c r="O314" s="204">
        <f t="shared" si="81"/>
        <v>17.842602753468583</v>
      </c>
      <c r="P314" s="200">
        <f t="shared" si="82"/>
        <v>707.87566691623294</v>
      </c>
      <c r="Q314" s="204">
        <f t="shared" si="83"/>
        <v>0.46324992968366396</v>
      </c>
      <c r="R314" s="204">
        <f t="shared" si="84"/>
        <v>0.6416759572183498</v>
      </c>
      <c r="S314" s="95">
        <f t="shared" si="93"/>
        <v>0.96</v>
      </c>
      <c r="T314" s="204">
        <f t="shared" si="85"/>
        <v>0.90494065030187265</v>
      </c>
      <c r="U314" s="202" t="str">
        <f t="shared" si="86"/>
        <v>C</v>
      </c>
      <c r="V314" s="202" t="str">
        <f t="shared" si="87"/>
        <v>C</v>
      </c>
      <c r="W314" s="202" t="str">
        <f t="shared" si="88"/>
        <v>B</v>
      </c>
      <c r="X314" s="200">
        <f t="shared" si="89"/>
        <v>85.577220830213761</v>
      </c>
    </row>
    <row r="315" spans="1:24" x14ac:dyDescent="0.25">
      <c r="A315" s="69">
        <f t="shared" si="71"/>
        <v>697.61046439106076</v>
      </c>
      <c r="B315" s="107">
        <v>21</v>
      </c>
      <c r="C315" s="107">
        <f t="shared" si="72"/>
        <v>1.1000000000000001</v>
      </c>
      <c r="D315" s="35">
        <f t="shared" si="73"/>
        <v>1</v>
      </c>
      <c r="E315" s="95">
        <f t="shared" si="90"/>
        <v>0.996661185030149</v>
      </c>
      <c r="F315" s="107">
        <f t="shared" si="74"/>
        <v>1</v>
      </c>
      <c r="G315" s="527">
        <f t="shared" si="75"/>
        <v>14.1</v>
      </c>
      <c r="H315" s="527">
        <f t="shared" si="76"/>
        <v>20.2</v>
      </c>
      <c r="I315" s="528">
        <f t="shared" si="77"/>
        <v>800</v>
      </c>
      <c r="J315" s="528">
        <f t="shared" si="78"/>
        <v>600</v>
      </c>
      <c r="K315" s="529">
        <f t="shared" si="79"/>
        <v>6.1</v>
      </c>
      <c r="L315" s="530">
        <f t="shared" si="91"/>
        <v>200</v>
      </c>
      <c r="M315" s="529">
        <f t="shared" si="80"/>
        <v>2.9771191639273531</v>
      </c>
      <c r="N315" s="528">
        <f t="shared" si="92"/>
        <v>14.1</v>
      </c>
      <c r="O315" s="204">
        <f t="shared" si="81"/>
        <v>17.222880836072648</v>
      </c>
      <c r="P315" s="200">
        <f t="shared" si="82"/>
        <v>729.11193692371967</v>
      </c>
      <c r="Q315" s="204">
        <f t="shared" si="83"/>
        <v>0.47317633742632326</v>
      </c>
      <c r="R315" s="204">
        <f t="shared" si="84"/>
        <v>0.64540514578704977</v>
      </c>
      <c r="S315" s="95">
        <f t="shared" si="93"/>
        <v>0.96</v>
      </c>
      <c r="T315" s="204">
        <f t="shared" si="85"/>
        <v>0.90213360015988897</v>
      </c>
      <c r="U315" s="202" t="str">
        <f t="shared" si="86"/>
        <v>C</v>
      </c>
      <c r="V315" s="202" t="str">
        <f t="shared" si="87"/>
        <v>C</v>
      </c>
      <c r="W315" s="202" t="str">
        <f t="shared" si="88"/>
        <v>B</v>
      </c>
      <c r="X315" s="200">
        <f t="shared" si="89"/>
        <v>85.311767455120176</v>
      </c>
    </row>
    <row r="316" spans="1:24" x14ac:dyDescent="0.25">
      <c r="A316" s="69">
        <f t="shared" si="71"/>
        <v>718.53877832279261</v>
      </c>
      <c r="B316" s="107">
        <v>22</v>
      </c>
      <c r="C316" s="107">
        <f t="shared" si="72"/>
        <v>1.1000000000000001</v>
      </c>
      <c r="D316" s="35">
        <f t="shared" si="73"/>
        <v>1</v>
      </c>
      <c r="E316" s="95">
        <f t="shared" si="90"/>
        <v>0.996661185030149</v>
      </c>
      <c r="F316" s="107">
        <f t="shared" si="74"/>
        <v>1</v>
      </c>
      <c r="G316" s="527">
        <f t="shared" si="75"/>
        <v>14.1</v>
      </c>
      <c r="H316" s="527">
        <f t="shared" si="76"/>
        <v>20.2</v>
      </c>
      <c r="I316" s="528">
        <f t="shared" si="77"/>
        <v>800</v>
      </c>
      <c r="J316" s="528">
        <f t="shared" si="78"/>
        <v>600</v>
      </c>
      <c r="K316" s="529">
        <f t="shared" si="79"/>
        <v>6.1</v>
      </c>
      <c r="L316" s="530">
        <f t="shared" si="91"/>
        <v>200</v>
      </c>
      <c r="M316" s="529">
        <f t="shared" si="80"/>
        <v>3.6154327388451741</v>
      </c>
      <c r="N316" s="528">
        <f t="shared" si="92"/>
        <v>14.1</v>
      </c>
      <c r="O316" s="204">
        <f t="shared" si="81"/>
        <v>16.584567261154824</v>
      </c>
      <c r="P316" s="200">
        <f t="shared" si="82"/>
        <v>750.98529503143129</v>
      </c>
      <c r="Q316" s="204">
        <f t="shared" si="83"/>
        <v>0.48320865520032075</v>
      </c>
      <c r="R316" s="204">
        <f t="shared" si="84"/>
        <v>0.649054327811869</v>
      </c>
      <c r="S316" s="95">
        <f t="shared" si="93"/>
        <v>0.96</v>
      </c>
      <c r="T316" s="204">
        <f t="shared" si="85"/>
        <v>0.89924233851364577</v>
      </c>
      <c r="U316" s="202" t="str">
        <f t="shared" si="86"/>
        <v>C</v>
      </c>
      <c r="V316" s="202" t="str">
        <f t="shared" si="87"/>
        <v>C</v>
      </c>
      <c r="W316" s="202" t="str">
        <f t="shared" si="88"/>
        <v>B</v>
      </c>
      <c r="X316" s="200">
        <f t="shared" si="89"/>
        <v>85.038350478773779</v>
      </c>
    </row>
    <row r="317" spans="1:24" x14ac:dyDescent="0.25">
      <c r="A317" s="69">
        <f t="shared" si="71"/>
        <v>740.09494167247647</v>
      </c>
      <c r="B317" s="107">
        <v>23</v>
      </c>
      <c r="C317" s="107">
        <f t="shared" si="72"/>
        <v>1.1000000000000001</v>
      </c>
      <c r="D317" s="35">
        <f t="shared" si="73"/>
        <v>1</v>
      </c>
      <c r="E317" s="95">
        <f t="shared" si="90"/>
        <v>0.996661185030149</v>
      </c>
      <c r="F317" s="107">
        <f t="shared" si="74"/>
        <v>1</v>
      </c>
      <c r="G317" s="527">
        <f t="shared" si="75"/>
        <v>14.1</v>
      </c>
      <c r="H317" s="527">
        <f t="shared" si="76"/>
        <v>20.2</v>
      </c>
      <c r="I317" s="528">
        <f t="shared" si="77"/>
        <v>800</v>
      </c>
      <c r="J317" s="528">
        <f t="shared" si="78"/>
        <v>600</v>
      </c>
      <c r="K317" s="529">
        <f t="shared" si="79"/>
        <v>6.1</v>
      </c>
      <c r="L317" s="530">
        <f t="shared" si="91"/>
        <v>200</v>
      </c>
      <c r="M317" s="529">
        <f t="shared" si="80"/>
        <v>4.2728957210105314</v>
      </c>
      <c r="N317" s="528">
        <f t="shared" si="92"/>
        <v>14.1</v>
      </c>
      <c r="O317" s="204">
        <f t="shared" si="81"/>
        <v>15.927104278989468</v>
      </c>
      <c r="P317" s="200">
        <f t="shared" si="82"/>
        <v>773.51485388237427</v>
      </c>
      <c r="Q317" s="204">
        <f t="shared" si="83"/>
        <v>0.49334225198286241</v>
      </c>
      <c r="R317" s="204">
        <f t="shared" si="84"/>
        <v>0.65261329477275709</v>
      </c>
      <c r="S317" s="95">
        <f t="shared" si="93"/>
        <v>0.96</v>
      </c>
      <c r="T317" s="204">
        <f t="shared" si="85"/>
        <v>0.89626433901801539</v>
      </c>
      <c r="U317" s="202" t="str">
        <f t="shared" si="86"/>
        <v>D</v>
      </c>
      <c r="V317" s="202" t="str">
        <f t="shared" si="87"/>
        <v>C</v>
      </c>
      <c r="W317" s="202" t="str">
        <f t="shared" si="88"/>
        <v>B</v>
      </c>
      <c r="X317" s="200">
        <f t="shared" si="89"/>
        <v>84.756730993136998</v>
      </c>
    </row>
    <row r="318" spans="1:24" x14ac:dyDescent="0.25">
      <c r="A318" s="69">
        <f t="shared" si="71"/>
        <v>762.29778992265074</v>
      </c>
      <c r="B318" s="107">
        <v>24</v>
      </c>
      <c r="C318" s="107">
        <f t="shared" si="72"/>
        <v>1.1000000000000001</v>
      </c>
      <c r="D318" s="35">
        <f t="shared" si="73"/>
        <v>1</v>
      </c>
      <c r="E318" s="95">
        <f t="shared" si="90"/>
        <v>0.996661185030149</v>
      </c>
      <c r="F318" s="107">
        <f t="shared" si="74"/>
        <v>1</v>
      </c>
      <c r="G318" s="527">
        <f t="shared" si="75"/>
        <v>14.1</v>
      </c>
      <c r="H318" s="527">
        <f t="shared" si="76"/>
        <v>20.2</v>
      </c>
      <c r="I318" s="528">
        <f t="shared" si="77"/>
        <v>800</v>
      </c>
      <c r="J318" s="528">
        <f t="shared" si="78"/>
        <v>600</v>
      </c>
      <c r="K318" s="529">
        <f t="shared" si="79"/>
        <v>6.1</v>
      </c>
      <c r="L318" s="530">
        <f t="shared" si="91"/>
        <v>200</v>
      </c>
      <c r="M318" s="529">
        <f t="shared" si="80"/>
        <v>4.9500825926408467</v>
      </c>
      <c r="N318" s="528">
        <f t="shared" si="92"/>
        <v>14.1</v>
      </c>
      <c r="O318" s="204">
        <f t="shared" si="81"/>
        <v>15.249917407359153</v>
      </c>
      <c r="P318" s="200">
        <f t="shared" si="82"/>
        <v>796.72029949884552</v>
      </c>
      <c r="Q318" s="204">
        <f t="shared" si="83"/>
        <v>0.50357215991985016</v>
      </c>
      <c r="R318" s="204">
        <f t="shared" si="84"/>
        <v>0.65607133399344164</v>
      </c>
      <c r="S318" s="95">
        <f t="shared" si="93"/>
        <v>0.96</v>
      </c>
      <c r="T318" s="204">
        <f t="shared" si="85"/>
        <v>0.89319699953751597</v>
      </c>
      <c r="U318" s="202" t="str">
        <f t="shared" si="86"/>
        <v>D</v>
      </c>
      <c r="V318" s="202" t="str">
        <f t="shared" si="87"/>
        <v>C</v>
      </c>
      <c r="W318" s="202" t="str">
        <f t="shared" si="88"/>
        <v>B</v>
      </c>
      <c r="X318" s="200">
        <f t="shared" si="89"/>
        <v>84.466662922931107</v>
      </c>
    </row>
    <row r="319" spans="1:24" x14ac:dyDescent="0.25">
      <c r="A319" s="69">
        <f t="shared" si="71"/>
        <v>785.16672362033023</v>
      </c>
      <c r="B319" s="107">
        <v>25</v>
      </c>
      <c r="C319" s="107">
        <f t="shared" si="72"/>
        <v>1.1000000000000001</v>
      </c>
      <c r="D319" s="35">
        <f t="shared" si="73"/>
        <v>1</v>
      </c>
      <c r="E319" s="95">
        <f t="shared" si="90"/>
        <v>0.996661185030149</v>
      </c>
      <c r="F319" s="107">
        <f t="shared" si="74"/>
        <v>1</v>
      </c>
      <c r="G319" s="527">
        <f t="shared" si="75"/>
        <v>14.1</v>
      </c>
      <c r="H319" s="527">
        <f t="shared" si="76"/>
        <v>20.2</v>
      </c>
      <c r="I319" s="528">
        <f t="shared" si="77"/>
        <v>800</v>
      </c>
      <c r="J319" s="528">
        <f t="shared" si="78"/>
        <v>600</v>
      </c>
      <c r="K319" s="529">
        <f t="shared" si="79"/>
        <v>6.1</v>
      </c>
      <c r="L319" s="530">
        <f t="shared" si="91"/>
        <v>200</v>
      </c>
      <c r="M319" s="529">
        <f t="shared" si="80"/>
        <v>5.6475850704200719</v>
      </c>
      <c r="N319" s="528">
        <f t="shared" si="92"/>
        <v>14.1</v>
      </c>
      <c r="O319" s="204">
        <f t="shared" si="81"/>
        <v>14.552414929579928</v>
      </c>
      <c r="P319" s="200">
        <f t="shared" si="82"/>
        <v>820.62190848381078</v>
      </c>
      <c r="Q319" s="204">
        <f t="shared" si="83"/>
        <v>0.5138930694413566</v>
      </c>
      <c r="R319" s="204">
        <f t="shared" si="84"/>
        <v>0.65941721873715586</v>
      </c>
      <c r="S319" s="95">
        <f t="shared" si="93"/>
        <v>0.96</v>
      </c>
      <c r="T319" s="204">
        <f t="shared" si="85"/>
        <v>0.89003763987260165</v>
      </c>
      <c r="U319" s="202" t="str">
        <f t="shared" si="86"/>
        <v>D</v>
      </c>
      <c r="V319" s="202" t="str">
        <f t="shared" si="87"/>
        <v>C</v>
      </c>
      <c r="W319" s="202" t="str">
        <f t="shared" si="88"/>
        <v>B</v>
      </c>
      <c r="X319" s="200">
        <f t="shared" si="89"/>
        <v>84.167892810619037</v>
      </c>
    </row>
    <row r="320" spans="1:24" x14ac:dyDescent="0.25">
      <c r="A320" s="69">
        <f t="shared" si="71"/>
        <v>808.72172532894012</v>
      </c>
      <c r="B320" s="107">
        <v>26</v>
      </c>
      <c r="C320" s="107">
        <f t="shared" si="72"/>
        <v>1</v>
      </c>
      <c r="D320" s="35">
        <f t="shared" si="73"/>
        <v>1</v>
      </c>
      <c r="E320" s="95">
        <f t="shared" si="90"/>
        <v>1</v>
      </c>
      <c r="F320" s="107">
        <f t="shared" si="74"/>
        <v>1</v>
      </c>
      <c r="G320" s="527">
        <f t="shared" si="75"/>
        <v>6.7</v>
      </c>
      <c r="H320" s="527">
        <f t="shared" si="76"/>
        <v>20.2</v>
      </c>
      <c r="I320" s="528">
        <f t="shared" si="77"/>
        <v>1400</v>
      </c>
      <c r="J320" s="528">
        <f t="shared" si="78"/>
        <v>800</v>
      </c>
      <c r="K320" s="529">
        <f t="shared" si="79"/>
        <v>13.5</v>
      </c>
      <c r="L320" s="530">
        <f t="shared" si="91"/>
        <v>600</v>
      </c>
      <c r="M320" s="529">
        <f t="shared" si="80"/>
        <v>0.1962388199011528</v>
      </c>
      <c r="N320" s="528">
        <f t="shared" si="92"/>
        <v>6.7</v>
      </c>
      <c r="O320" s="204">
        <f t="shared" si="81"/>
        <v>20.003761180098845</v>
      </c>
      <c r="P320" s="200">
        <f t="shared" si="82"/>
        <v>842.4184638843127</v>
      </c>
      <c r="Q320" s="204">
        <f t="shared" si="83"/>
        <v>0.52311782431770881</v>
      </c>
      <c r="R320" s="204">
        <f t="shared" si="84"/>
        <v>0.72315543611869726</v>
      </c>
      <c r="S320" s="95">
        <f t="shared" si="93"/>
        <v>0.96</v>
      </c>
      <c r="T320" s="204">
        <f t="shared" si="85"/>
        <v>0.88793904689579939</v>
      </c>
      <c r="U320" s="202" t="str">
        <f t="shared" si="86"/>
        <v>D</v>
      </c>
      <c r="V320" s="202" t="str">
        <f t="shared" si="87"/>
        <v>D</v>
      </c>
      <c r="W320" s="202" t="str">
        <f t="shared" si="88"/>
        <v>B</v>
      </c>
      <c r="X320" s="200">
        <f t="shared" si="89"/>
        <v>83.969435868112768</v>
      </c>
    </row>
    <row r="321" spans="1:24" x14ac:dyDescent="0.25">
      <c r="A321" s="69">
        <f t="shared" si="71"/>
        <v>832.9833770888082</v>
      </c>
      <c r="B321" s="107">
        <v>27</v>
      </c>
      <c r="C321" s="107">
        <f t="shared" si="72"/>
        <v>1</v>
      </c>
      <c r="D321" s="35">
        <f t="shared" si="73"/>
        <v>1</v>
      </c>
      <c r="E321" s="95">
        <f t="shared" si="90"/>
        <v>1</v>
      </c>
      <c r="F321" s="107">
        <f t="shared" si="74"/>
        <v>1</v>
      </c>
      <c r="G321" s="527">
        <f t="shared" si="75"/>
        <v>6.7</v>
      </c>
      <c r="H321" s="527">
        <f t="shared" si="76"/>
        <v>20.2</v>
      </c>
      <c r="I321" s="528">
        <f t="shared" si="77"/>
        <v>1400</v>
      </c>
      <c r="J321" s="528">
        <f t="shared" si="78"/>
        <v>800</v>
      </c>
      <c r="K321" s="529">
        <f t="shared" si="79"/>
        <v>13.5</v>
      </c>
      <c r="L321" s="530">
        <f t="shared" si="91"/>
        <v>600</v>
      </c>
      <c r="M321" s="529">
        <f t="shared" si="80"/>
        <v>0.74212598449818445</v>
      </c>
      <c r="N321" s="528">
        <f t="shared" si="92"/>
        <v>6.7</v>
      </c>
      <c r="O321" s="204">
        <f t="shared" si="81"/>
        <v>19.457874015501815</v>
      </c>
      <c r="P321" s="200">
        <f t="shared" si="82"/>
        <v>867.69101780084191</v>
      </c>
      <c r="Q321" s="204">
        <f t="shared" si="83"/>
        <v>0.53359475796152789</v>
      </c>
      <c r="R321" s="204">
        <f t="shared" si="84"/>
        <v>0.72817349811654608</v>
      </c>
      <c r="S321" s="95">
        <f t="shared" si="93"/>
        <v>0.96</v>
      </c>
      <c r="T321" s="204">
        <f t="shared" si="85"/>
        <v>0.88459847314934248</v>
      </c>
      <c r="U321" s="202" t="str">
        <f t="shared" si="86"/>
        <v>D</v>
      </c>
      <c r="V321" s="202" t="str">
        <f t="shared" si="87"/>
        <v>D</v>
      </c>
      <c r="W321" s="202" t="str">
        <f t="shared" si="88"/>
        <v>B</v>
      </c>
      <c r="X321" s="200">
        <f t="shared" si="89"/>
        <v>83.653528944156164</v>
      </c>
    </row>
    <row r="322" spans="1:24" x14ac:dyDescent="0.25">
      <c r="A322" s="69">
        <f t="shared" si="71"/>
        <v>857.97287840147271</v>
      </c>
      <c r="B322" s="107">
        <v>28</v>
      </c>
      <c r="C322" s="107">
        <f t="shared" si="72"/>
        <v>1</v>
      </c>
      <c r="D322" s="35">
        <f t="shared" si="73"/>
        <v>1</v>
      </c>
      <c r="E322" s="95">
        <f t="shared" si="90"/>
        <v>1</v>
      </c>
      <c r="F322" s="107">
        <f t="shared" si="74"/>
        <v>1</v>
      </c>
      <c r="G322" s="527">
        <f t="shared" si="75"/>
        <v>6.7</v>
      </c>
      <c r="H322" s="527">
        <f t="shared" si="76"/>
        <v>20.2</v>
      </c>
      <c r="I322" s="528">
        <f t="shared" si="77"/>
        <v>1400</v>
      </c>
      <c r="J322" s="528">
        <f t="shared" si="78"/>
        <v>800</v>
      </c>
      <c r="K322" s="529">
        <f t="shared" si="79"/>
        <v>13.5</v>
      </c>
      <c r="L322" s="530">
        <f t="shared" si="91"/>
        <v>600</v>
      </c>
      <c r="M322" s="529">
        <f t="shared" si="80"/>
        <v>1.3043897640331359</v>
      </c>
      <c r="N322" s="528">
        <f t="shared" si="92"/>
        <v>6.7</v>
      </c>
      <c r="O322" s="204">
        <f t="shared" si="81"/>
        <v>18.895610235966863</v>
      </c>
      <c r="P322" s="200">
        <f t="shared" si="82"/>
        <v>893.72174833486747</v>
      </c>
      <c r="Q322" s="204">
        <f t="shared" si="83"/>
        <v>0.54414541678590078</v>
      </c>
      <c r="R322" s="204">
        <f t="shared" si="84"/>
        <v>0.73310151914556942</v>
      </c>
      <c r="S322" s="95">
        <f t="shared" si="93"/>
        <v>0.96</v>
      </c>
      <c r="T322" s="204">
        <f t="shared" si="85"/>
        <v>0.88115768219049173</v>
      </c>
      <c r="U322" s="202" t="str">
        <f t="shared" si="86"/>
        <v>D</v>
      </c>
      <c r="V322" s="202" t="str">
        <f t="shared" si="87"/>
        <v>D</v>
      </c>
      <c r="W322" s="202" t="str">
        <f t="shared" si="88"/>
        <v>B</v>
      </c>
      <c r="X322" s="200">
        <f t="shared" si="89"/>
        <v>83.328144812480843</v>
      </c>
    </row>
    <row r="323" spans="1:24" x14ac:dyDescent="0.25">
      <c r="A323" s="69">
        <f t="shared" si="71"/>
        <v>883.71206475351664</v>
      </c>
      <c r="B323" s="107">
        <v>29</v>
      </c>
      <c r="C323" s="107">
        <f t="shared" si="72"/>
        <v>1</v>
      </c>
      <c r="D323" s="35">
        <f t="shared" si="73"/>
        <v>1</v>
      </c>
      <c r="E323" s="95">
        <f t="shared" si="90"/>
        <v>1</v>
      </c>
      <c r="F323" s="107">
        <f t="shared" si="74"/>
        <v>1</v>
      </c>
      <c r="G323" s="527">
        <f t="shared" si="75"/>
        <v>6.7</v>
      </c>
      <c r="H323" s="527">
        <f t="shared" si="76"/>
        <v>20.2</v>
      </c>
      <c r="I323" s="528">
        <f t="shared" si="77"/>
        <v>1400</v>
      </c>
      <c r="J323" s="528">
        <f t="shared" si="78"/>
        <v>800</v>
      </c>
      <c r="K323" s="529">
        <f t="shared" si="79"/>
        <v>13.5</v>
      </c>
      <c r="L323" s="530">
        <f t="shared" si="91"/>
        <v>600</v>
      </c>
      <c r="M323" s="529">
        <f t="shared" si="80"/>
        <v>1.8835214569541245</v>
      </c>
      <c r="N323" s="528">
        <f t="shared" si="92"/>
        <v>6.7</v>
      </c>
      <c r="O323" s="204">
        <f t="shared" si="81"/>
        <v>18.316478543045875</v>
      </c>
      <c r="P323" s="200">
        <f t="shared" si="82"/>
        <v>920.53340078491317</v>
      </c>
      <c r="Q323" s="204">
        <f t="shared" si="83"/>
        <v>0.5547631357843692</v>
      </c>
      <c r="R323" s="204">
        <f t="shared" si="84"/>
        <v>0.73792792121482798</v>
      </c>
      <c r="S323" s="95">
        <f t="shared" si="93"/>
        <v>0.96</v>
      </c>
      <c r="T323" s="204">
        <f t="shared" si="85"/>
        <v>0.87761366750287562</v>
      </c>
      <c r="U323" s="202" t="str">
        <f t="shared" si="86"/>
        <v>D</v>
      </c>
      <c r="V323" s="202" t="str">
        <f t="shared" si="87"/>
        <v>D</v>
      </c>
      <c r="W323" s="202" t="str">
        <f t="shared" si="88"/>
        <v>B</v>
      </c>
      <c r="X323" s="200">
        <f t="shared" si="89"/>
        <v>82.992999156855277</v>
      </c>
    </row>
    <row r="324" spans="1:24" x14ac:dyDescent="0.25">
      <c r="A324" s="69">
        <f t="shared" si="71"/>
        <v>910.22342669612226</v>
      </c>
      <c r="B324" s="107">
        <v>30</v>
      </c>
      <c r="C324" s="107">
        <f t="shared" si="72"/>
        <v>1</v>
      </c>
      <c r="D324" s="35">
        <f t="shared" si="73"/>
        <v>1</v>
      </c>
      <c r="E324" s="95">
        <f t="shared" si="90"/>
        <v>1</v>
      </c>
      <c r="F324" s="107">
        <f t="shared" si="74"/>
        <v>1</v>
      </c>
      <c r="G324" s="527">
        <f t="shared" si="75"/>
        <v>6.7</v>
      </c>
      <c r="H324" s="527">
        <f t="shared" si="76"/>
        <v>20.2</v>
      </c>
      <c r="I324" s="528">
        <f t="shared" si="77"/>
        <v>1400</v>
      </c>
      <c r="J324" s="528">
        <f t="shared" si="78"/>
        <v>800</v>
      </c>
      <c r="K324" s="533">
        <f t="shared" si="79"/>
        <v>13.5</v>
      </c>
      <c r="L324" s="534">
        <f t="shared" si="91"/>
        <v>600</v>
      </c>
      <c r="M324" s="533">
        <f t="shared" si="80"/>
        <v>2.4800271006627508</v>
      </c>
      <c r="N324" s="528">
        <f t="shared" si="92"/>
        <v>6.7</v>
      </c>
      <c r="O324" s="204">
        <f t="shared" si="81"/>
        <v>17.71997289933725</v>
      </c>
      <c r="P324" s="200">
        <f t="shared" si="82"/>
        <v>948.14940280846076</v>
      </c>
      <c r="Q324" s="204">
        <f t="shared" si="83"/>
        <v>0.56544089998011848</v>
      </c>
      <c r="R324" s="204">
        <f t="shared" si="84"/>
        <v>0.74264062897349103</v>
      </c>
      <c r="S324" s="95">
        <f t="shared" si="93"/>
        <v>0.96</v>
      </c>
      <c r="T324" s="204">
        <f t="shared" si="85"/>
        <v>0.87396333237463064</v>
      </c>
      <c r="U324" s="202" t="str">
        <f t="shared" si="86"/>
        <v>D</v>
      </c>
      <c r="V324" s="202" t="str">
        <f t="shared" si="87"/>
        <v>D</v>
      </c>
      <c r="W324" s="202" t="str">
        <f t="shared" si="88"/>
        <v>B</v>
      </c>
      <c r="X324" s="200">
        <f t="shared" si="89"/>
        <v>82.647799131560916</v>
      </c>
    </row>
    <row r="325" spans="1:24" x14ac:dyDescent="0.25">
      <c r="A325" s="69">
        <f>J71/12</f>
        <v>937.53012949700599</v>
      </c>
      <c r="B325" s="107">
        <v>31</v>
      </c>
      <c r="C325" s="107">
        <f>IF(A325&lt;=100,$J$153,IF(AND(A325&gt;100,A325&lt;=200),$J$154, IF(AND(A325&gt;200,A325&lt;=300),$J$155,IF(AND(A325&gt;300,A325&lt;=400),$J$156,IF(AND(A325&gt;400,A325&lt;=500),$J$157,IF(AND(A325&gt;500,A325&lt;=600),$J$158,IF(AND(A325&gt;600,A325&lt;=700),$J$159,IF(AND(A325&gt;700,A325&lt;=800),$J$160, IF(A325&gt;800,$J$161)))))))))</f>
        <v>1</v>
      </c>
      <c r="D325" s="35">
        <f t="shared" si="73"/>
        <v>1</v>
      </c>
      <c r="E325" s="95">
        <f>1/(1+$I$148*(C325-1)+$I$149*(D325-1))</f>
        <v>1</v>
      </c>
      <c r="F325" s="107">
        <f>IF(A325&lt;=100,$I$168,IF(AND(A325&gt;100,A325&lt;=200),$I$169, IF(AND(A325&gt;200,A325&lt;=300),$I$170,IF(AND(A325&gt;300,A325&lt;=400),$I$171,IF(AND(A325&gt;400,A325&lt;=500),$I$172,IF(AND(A325&gt;500,A325&lt;=600),$I$173,IF(AND(A325&gt;600,A325&lt;=700),$I$174,IF(AND(A325&gt;700,A325&lt;=800),$I$175, IF(A325&gt;800,$I$176)))))))))</f>
        <v>1</v>
      </c>
      <c r="G325" s="527">
        <f>IF(A325&lt;=200,$L$246,IF(AND(A325&gt;200,A325&lt;=400),$L$247,IF(AND(A325&gt;400,A325&lt;=600),$L$248,IF(AND(A325&gt;600,A325&lt;=800),$L$249,IF(AND(A325&gt;800,A325&lt;=1400),$L$250,IF(AND(A325&gt;1400,A325&lt;=2000),$L$251,IF(AND(A325&gt;2000,A325&lt;=2600),$L$252,IF(A325&gt;2600,$L$253))))))))</f>
        <v>6.7</v>
      </c>
      <c r="H325" s="527">
        <f>IF(B325&lt;=200,$L$245,IF(AND(B325&gt;200,B325&lt;=400),$L$246,IF(AND(B325&gt;400,B325&lt;=600),$L$247,IF(AND(B325&gt;600,B325&lt;=800),$L$248,IF(AND(B325&gt;800,B325&lt;=1400),$L$249,IF(AND(B325&gt;1400,B325&lt;=2000),$L$250,IF(AND(B325&gt;2000,B325&lt;=2600),$L$251,IF(B325&gt;2600,$L$252))))))))</f>
        <v>20.2</v>
      </c>
      <c r="I325" s="528">
        <f>IF(A325&lt;=200,$K$246,IF(AND(A325&gt;200,A325&lt;=400),$K$247,IF(AND(A325&gt;400,A325&lt;=600),$K$248,IF(AND(A325&gt;600,A325&lt;=800),$K$249,IF(AND(A325&gt;800,A325&lt;=1400),$K$250,IF(AND(A325&gt;1400,A325&lt;=2000),$K$251,IF(AND(A325&gt;2000,A325&lt;=2600),$K$252,IF(A325&gt;2600,$K$253))))))))</f>
        <v>1400</v>
      </c>
      <c r="J325" s="528">
        <f>IF(A325&lt;=200,$K$244,IF(AND(A325&gt;200,A325&lt;=400),$K$246,IF(AND(A325&gt;400,A325&lt;=600),$K$247,IF(AND(A325&gt;600,A325&lt;=800),$K$248,IF(AND(A325&gt;800,A325&lt;=1400),$K$249,IF(AND(A325&gt;1400,A325&lt;=2000),$K$250,IF(AND(A325&gt;2000,A325&lt;=2600),$K$251,IF(A325&gt;2600,$K$252))))))))</f>
        <v>800</v>
      </c>
      <c r="K325" s="533">
        <f>ABS(H325-G325)</f>
        <v>13.5</v>
      </c>
      <c r="L325" s="534">
        <f>I325-J325</f>
        <v>600</v>
      </c>
      <c r="M325" s="533">
        <f>((A325-J325)*K325)/L325</f>
        <v>3.0944279136826349</v>
      </c>
      <c r="N325" s="528">
        <f>IF(G325&lt;H325,G325,H325)</f>
        <v>6.7</v>
      </c>
      <c r="O325" s="204">
        <f>IF(H325&lt;G325,H325+M325,H325-M325)</f>
        <v>17.105572086317366</v>
      </c>
      <c r="P325" s="200">
        <f>A325/(S325*F325*E325)</f>
        <v>976.59388489271464</v>
      </c>
      <c r="Q325" s="204">
        <f>1-EXP(-0.000879*P325)</f>
        <v>0.57617134662232217</v>
      </c>
      <c r="R325" s="204">
        <f>(Q325)+(O325/100)</f>
        <v>0.74722706748549583</v>
      </c>
      <c r="S325" s="95">
        <f t="shared" si="93"/>
        <v>0.96</v>
      </c>
      <c r="T325" s="204">
        <f>X325/$H$131</f>
        <v>0.8702034871925387</v>
      </c>
      <c r="U325" s="202" t="str">
        <f>IF(R325&lt;=0.35,$D$238,IF(AND(R325&gt;0.35,R325&lt;=0.5),$D$239,IF(AND(R325&gt;0.5,R325&lt;=0.65),$D$240,IF(AND(R325&gt;0.65,R325&lt;=0.8),$D$241,IF(R325&gt;0.8,$D$242)))))</f>
        <v>D</v>
      </c>
      <c r="V325" s="202" t="str">
        <f>IF(R325&lt;=0.4,$D$238,IF(AND(R325&gt;0.4,R325&lt;=0.55),$D$239,IF(AND(R325&gt;0.55,R325&lt;=0.7),$D$240,IF(AND(R325&gt;0.7,R325&lt;=0.85),$D$241,IF(R325&gt;0.85,$D$242)))))</f>
        <v>D</v>
      </c>
      <c r="W325" s="202" t="str">
        <f>IF(T325&gt;0.917,$D$238,IF(AND(T325&lt;0.917,T325&gt;=0.833),$D$239,IF(AND(T325&lt;0.833,T325&gt;=0.75),$D$240,IF(AND(T325&lt;0.75,T325&gt;=0.667),$D$241,IF(T325&lt;=0.667,$D$242)))))</f>
        <v>B</v>
      </c>
      <c r="X325" s="200">
        <f>$H$131-(0.0125*P325)-(G325/100)</f>
        <v>82.292243105507751</v>
      </c>
    </row>
    <row r="326" spans="1:24" x14ac:dyDescent="0.25">
      <c r="A326" s="69">
        <f>J72/12</f>
        <v>965.65603338191602</v>
      </c>
      <c r="B326" s="107">
        <v>32</v>
      </c>
      <c r="C326" s="107">
        <f>IF(A326&lt;=100,$J$153,IF(AND(A326&gt;100,A326&lt;=200),$J$154, IF(AND(A326&gt;200,A326&lt;=300),$J$155,IF(AND(A326&gt;300,A326&lt;=400),$J$156,IF(AND(A326&gt;400,A326&lt;=500),$J$157,IF(AND(A326&gt;500,A326&lt;=600),$J$158,IF(AND(A326&gt;600,A326&lt;=700),$J$159,IF(AND(A326&gt;700,A326&lt;=800),$J$160, IF(A326&gt;800,$J$161)))))))))</f>
        <v>1</v>
      </c>
      <c r="D326" s="35">
        <f t="shared" si="73"/>
        <v>1</v>
      </c>
      <c r="E326" s="95">
        <f>1/(1+$I$148*(C326-1)+$I$149*(D326-1))</f>
        <v>1</v>
      </c>
      <c r="F326" s="107">
        <f>IF(A326&lt;=100,$I$168,IF(AND(A326&gt;100,A326&lt;=200),$I$169, IF(AND(A326&gt;200,A326&lt;=300),$I$170,IF(AND(A326&gt;300,A326&lt;=400),$I$171,IF(AND(A326&gt;400,A326&lt;=500),$I$172,IF(AND(A326&gt;500,A326&lt;=600),$I$173,IF(AND(A326&gt;600,A326&lt;=700),$I$174,IF(AND(A326&gt;700,A326&lt;=800),$I$175, IF(A326&gt;800,$I$176)))))))))</f>
        <v>1</v>
      </c>
      <c r="G326" s="527">
        <f>IF(A326&lt;=200,$L$246,IF(AND(A326&gt;200,A326&lt;=400),$L$247,IF(AND(A326&gt;400,A326&lt;=600),$L$248,IF(AND(A326&gt;600,A326&lt;=800),$L$249,IF(AND(A326&gt;800,A326&lt;=1400),$L$250,IF(AND(A326&gt;1400,A326&lt;=2000),$L$251,IF(AND(A326&gt;2000,A326&lt;=2600),$L$252,IF(A326&gt;2600,$L$253))))))))</f>
        <v>6.7</v>
      </c>
      <c r="H326" s="527">
        <f>IF(B326&lt;=200,$L$245,IF(AND(B326&gt;200,B326&lt;=400),$L$246,IF(AND(B326&gt;400,B326&lt;=600),$L$247,IF(AND(B326&gt;600,B326&lt;=800),$L$248,IF(AND(B326&gt;800,B326&lt;=1400),$L$249,IF(AND(B326&gt;1400,B326&lt;=2000),$L$250,IF(AND(B326&gt;2000,B326&lt;=2600),$L$251,IF(B326&gt;2600,$L$252))))))))</f>
        <v>20.2</v>
      </c>
      <c r="I326" s="528">
        <f>IF(A326&lt;=200,$K$246,IF(AND(A326&gt;200,A326&lt;=400),$K$247,IF(AND(A326&gt;400,A326&lt;=600),$K$248,IF(AND(A326&gt;600,A326&lt;=800),$K$249,IF(AND(A326&gt;800,A326&lt;=1400),$K$250,IF(AND(A326&gt;1400,A326&lt;=2000),$K$251,IF(AND(A326&gt;2000,A326&lt;=2600),$K$252,IF(A326&gt;2600,$K$253))))))))</f>
        <v>1400</v>
      </c>
      <c r="J326" s="528">
        <f>IF(A326&lt;=200,$K$244,IF(AND(A326&gt;200,A326&lt;=400),$K$246,IF(AND(A326&gt;400,A326&lt;=600),$K$247,IF(AND(A326&gt;600,A326&lt;=800),$K$248,IF(AND(A326&gt;800,A326&lt;=1400),$K$249,IF(AND(A326&gt;1400,A326&lt;=2000),$K$250,IF(AND(A326&gt;2000,A326&lt;=2600),$K$251,IF(A326&gt;2600,$K$252))))))))</f>
        <v>800</v>
      </c>
      <c r="K326" s="533">
        <f>ABS(H326-G326)</f>
        <v>13.5</v>
      </c>
      <c r="L326" s="534">
        <f>I326-J326</f>
        <v>600</v>
      </c>
      <c r="M326" s="533">
        <f>((A326-J326)*K326)/L326</f>
        <v>3.7272607510931106</v>
      </c>
      <c r="N326" s="528">
        <f>IF(G326&lt;H326,G326,H326)</f>
        <v>6.7</v>
      </c>
      <c r="O326" s="204">
        <f>IF(H326&lt;G326,H326+M326,H326-M326)</f>
        <v>16.47273924890689</v>
      </c>
      <c r="P326" s="200">
        <f>A326/(S326*F326*E326)</f>
        <v>1005.8917014394959</v>
      </c>
      <c r="Q326" s="204">
        <f>1-EXP(-0.000879*P326)</f>
        <v>0.58694676894161191</v>
      </c>
      <c r="R326" s="204">
        <f>(Q326)+(O326/100)</f>
        <v>0.75167416143068078</v>
      </c>
      <c r="S326" s="95">
        <f t="shared" si="93"/>
        <v>0.96</v>
      </c>
      <c r="T326" s="204">
        <f>X326/$H$131</f>
        <v>0.86633084665498394</v>
      </c>
      <c r="U326" s="202" t="str">
        <f>IF(R326&lt;=0.35,$D$238,IF(AND(R326&gt;0.35,R326&lt;=0.5),$D$239,IF(AND(R326&gt;0.5,R326&lt;=0.65),$D$240,IF(AND(R326&gt;0.65,R326&lt;=0.8),$D$241,IF(R326&gt;0.8,$D$242)))))</f>
        <v>D</v>
      </c>
      <c r="V326" s="202" t="str">
        <f>IF(R326&lt;=0.4,$D$238,IF(AND(R326&gt;0.4,R326&lt;=0.55),$D$239,IF(AND(R326&gt;0.55,R326&lt;=0.7),$D$240,IF(AND(R326&gt;0.7,R326&lt;=0.85),$D$241,IF(R326&gt;0.85,$D$242)))))</f>
        <v>D</v>
      </c>
      <c r="W326" s="202" t="str">
        <f>IF(T326&gt;0.917,$D$238,IF(AND(T326&lt;0.917,T326&gt;=0.833),$D$239,IF(AND(T326&lt;0.833,T326&gt;=0.75),$D$240,IF(AND(T326&lt;0.75,T326&gt;=0.667),$D$241,IF(T326&lt;=0.667,$D$242)))))</f>
        <v>B</v>
      </c>
      <c r="X326" s="200">
        <f>$H$131-(0.0125*P326)-(G326/100)</f>
        <v>81.926020398672989</v>
      </c>
    </row>
    <row r="327" spans="1:24" x14ac:dyDescent="0.25">
      <c r="A327" s="36"/>
      <c r="B327" s="259"/>
      <c r="C327" s="113"/>
      <c r="D327" s="129"/>
      <c r="F327" s="113"/>
      <c r="G327" s="60"/>
      <c r="H327" s="110"/>
      <c r="I327" s="110"/>
      <c r="J327" s="110"/>
      <c r="K327" s="112"/>
      <c r="L327" s="508"/>
      <c r="M327" s="112"/>
      <c r="N327" s="110"/>
      <c r="O327" s="83"/>
      <c r="P327" s="510"/>
      <c r="R327" s="36"/>
      <c r="T327" s="83"/>
      <c r="W327" s="61"/>
      <c r="X327" s="61"/>
    </row>
    <row r="328" spans="1:24" x14ac:dyDescent="0.25">
      <c r="A328" s="36"/>
      <c r="B328" s="259"/>
      <c r="C328" s="113"/>
      <c r="D328" s="129"/>
      <c r="F328" s="113"/>
      <c r="G328" s="60"/>
      <c r="H328" s="110"/>
      <c r="I328" s="110"/>
      <c r="J328" s="110"/>
      <c r="K328" s="112"/>
      <c r="L328" s="508"/>
      <c r="M328" s="112"/>
      <c r="N328" s="110"/>
      <c r="O328" s="83"/>
      <c r="P328" s="510"/>
      <c r="R328" s="36"/>
      <c r="T328" s="83"/>
      <c r="W328" s="61"/>
      <c r="X328" s="61"/>
    </row>
    <row r="329" spans="1:24" x14ac:dyDescent="0.25">
      <c r="A329" s="164" t="s">
        <v>107</v>
      </c>
      <c r="B329" s="105" t="s">
        <v>18</v>
      </c>
      <c r="C329" s="105" t="s">
        <v>131</v>
      </c>
      <c r="D329" s="125" t="s">
        <v>123</v>
      </c>
      <c r="E329" s="41" t="s">
        <v>132</v>
      </c>
      <c r="F329" s="41" t="s">
        <v>121</v>
      </c>
      <c r="G329" s="536" t="s">
        <v>140</v>
      </c>
      <c r="H329" s="526" t="s">
        <v>507</v>
      </c>
      <c r="I329" s="526" t="s">
        <v>482</v>
      </c>
      <c r="J329" s="526" t="s">
        <v>508</v>
      </c>
      <c r="K329" s="526" t="s">
        <v>509</v>
      </c>
      <c r="L329" s="526" t="s">
        <v>510</v>
      </c>
      <c r="M329" s="526" t="s">
        <v>511</v>
      </c>
      <c r="N329" s="526" t="s">
        <v>512</v>
      </c>
      <c r="O329" s="125" t="s">
        <v>513</v>
      </c>
      <c r="P329" s="41" t="s">
        <v>151</v>
      </c>
      <c r="Q329" s="125" t="s">
        <v>161</v>
      </c>
      <c r="R329" s="125" t="s">
        <v>158</v>
      </c>
      <c r="S329" s="41" t="s">
        <v>148</v>
      </c>
      <c r="T329" s="125" t="s">
        <v>159</v>
      </c>
      <c r="U329" s="125" t="s">
        <v>155</v>
      </c>
      <c r="V329" s="125" t="s">
        <v>156</v>
      </c>
      <c r="W329" s="125" t="s">
        <v>157</v>
      </c>
      <c r="X329" s="41" t="s">
        <v>153</v>
      </c>
    </row>
    <row r="330" spans="1:24" x14ac:dyDescent="0.25">
      <c r="A330" s="69">
        <f t="shared" ref="A330:A360" si="94">J78/12</f>
        <v>750</v>
      </c>
      <c r="B330" s="107">
        <v>0</v>
      </c>
      <c r="C330" s="107">
        <f t="shared" ref="C330:C360" si="95">IF(A330&lt;=100,$K$153,IF(AND(A330&gt;100,A330&lt;=200),$K$154, IF(AND(A330&gt;200,A330&lt;=300),$K$155,IF(AND(A330&gt;300,A330&lt;=400),$K$156,IF(AND(A330&gt;400,A330&lt;=500),$K$157,IF(AND(A330&gt;500,A330&lt;=600),$K$158,IF(AND(A330&gt;600,A330&lt;=700),$K$159,IF(AND(A330&gt;700,A330&lt;=800),$K$160, IF(A330&gt;800,$K$161)))))))))</f>
        <v>1.1000000000000001</v>
      </c>
      <c r="D330" s="35">
        <f t="shared" ref="D330:D362" si="96">$K$162</f>
        <v>1</v>
      </c>
      <c r="E330" s="95">
        <f>1/(1+$J$148*(C330-1)+$J$149*(D330-1))</f>
        <v>0.996661185030149</v>
      </c>
      <c r="F330" s="107">
        <f t="shared" ref="F330:F360" si="97">IF(A330&lt;=100,$J$168,IF(AND(A330&gt;100,A330&lt;=200),$J$169, IF(AND(A330&gt;200,A330&lt;=300),$J$170,IF(AND(A330&gt;300,A330&lt;=400),$J$171,IF(AND(A330&gt;400,A330&lt;=500),$J$172,IF(AND(A330&gt;500,A330&lt;=600),$J$173,IF(AND(A330&gt;600,A330&lt;=700),$J$174,IF(AND(A330&gt;700,A330&lt;=800),$J$175, IF(A330&gt;800,$J$176)))))))))</f>
        <v>1</v>
      </c>
      <c r="G330" s="537">
        <f t="shared" ref="G330:G360" si="98">IF(A330&lt;=200,$I$246,IF(AND(A330&gt;200,A330&lt;=400),$I$247,IF(AND(A330&gt;400,A330&lt;=600),$I$248,IF(AND(A330&gt;600,A330&lt;=800),$I$249,IF(AND(A330&gt;800,A330&lt;=1400),$I$250,IF(AND(A330&gt;1400,A330&lt;=2000),$I$251,IF(AND(A330&gt;2000,A330&lt;=2600),$I$252,IF(A330&gt;2600,$I$253))))))))</f>
        <v>14.1</v>
      </c>
      <c r="H330" s="537">
        <f t="shared" ref="H330:H360" si="99">IF(B330&lt;=200,$I$245,IF(AND(B330&gt;200,B330&lt;=400),$I$246,IF(AND(B330&gt;400,B330&lt;=600),$I$247,IF(AND(B330&gt;600,B330&lt;=800),$I$248,IF(AND(B330&gt;800,B330&lt;=1400),$I$249,IF(AND(B330&gt;1400,B330&lt;=2000),$I$250,IF(AND(B330&gt;2000,B330&lt;=2600),$I$251,IF(B330&gt;2600,$I$252))))))))</f>
        <v>20.2</v>
      </c>
      <c r="I330" s="538">
        <f t="shared" ref="I330:I360" si="100">IF(A330&lt;=200,$H$246,IF(AND(A330&gt;200,A330&lt;=400),$H$247,IF(AND(A330&gt;400,A330&lt;=600),$H$248,IF(AND(A330&gt;600,A330&lt;=800),$H$249,IF(AND(A330&gt;800,A330&lt;=1400),$H$250,IF(AND(A330&gt;1400,A330&lt;=2000),$H$251,IF(AND(A330&gt;2000,A330&lt;=2600),$H$252,IF(A330&gt;2600,$H$253))))))))</f>
        <v>800</v>
      </c>
      <c r="J330" s="538">
        <f t="shared" ref="J330:J360" si="101">IF(A330&lt;=200,$H$244,IF(AND(A330&gt;200,A330&lt;=400),$H$246,IF(AND(A330&gt;400,A330&lt;=600),$H$247,IF(AND(A330&gt;600,A330&lt;=800),$H$248,IF(AND(A330&gt;800,A330&lt;=1400),$H$249,IF(AND(A330&gt;1400,A330&lt;=2000),$H$250,IF(AND(A330&gt;2000,A330&lt;=2600),$H$251,IF(A330&gt;2600,$H$252))))))))</f>
        <v>600</v>
      </c>
      <c r="K330" s="539">
        <f t="shared" ref="K330:K360" si="102">ABS(H330-G330)</f>
        <v>6.1</v>
      </c>
      <c r="L330" s="540">
        <f>I330-J330</f>
        <v>200</v>
      </c>
      <c r="M330" s="539">
        <f t="shared" ref="M330:M360" si="103">((A330-J330)*K330)/L330</f>
        <v>4.5750000000000002</v>
      </c>
      <c r="N330" s="538">
        <f>IF(G330&lt;H330,G330,H330)</f>
        <v>14.1</v>
      </c>
      <c r="O330" s="204">
        <f t="shared" ref="O330:O360" si="104">IF(H330&lt;G330,H330+M330,H330-M330)</f>
        <v>15.625</v>
      </c>
      <c r="P330" s="200">
        <f t="shared" ref="P330:P360" si="105">A330/(S330*F330*E330)</f>
        <v>783.86718750000011</v>
      </c>
      <c r="Q330" s="204">
        <f>1-EXP(-0.000879*P330)</f>
        <v>0.4979317728221081</v>
      </c>
      <c r="R330" s="204">
        <f t="shared" ref="R330:R360" si="106">(Q330)+(O330/100)</f>
        <v>0.6541817728221081</v>
      </c>
      <c r="S330" s="204">
        <f t="shared" ref="S330:S362" si="107">S259</f>
        <v>0.96</v>
      </c>
      <c r="T330" s="204">
        <f t="shared" ref="T330:T360" si="108">X330/$H$141</f>
        <v>0.89168899552760617</v>
      </c>
      <c r="U330" s="202" t="str">
        <f t="shared" ref="U330:U360" si="109">IF(R330&lt;=0.35,$D$238,IF(AND(R330&gt;0.35,R330&lt;=0.5),$D$239,IF(AND(R330&gt;0.5,R330&lt;=0.65),$D$240,IF(AND(R330&gt;0.65,R330&lt;=0.8),$D$241,IF(R330&gt;0.8,$D$242)))))</f>
        <v>D</v>
      </c>
      <c r="V330" s="202" t="str">
        <f t="shared" ref="V330:V360" si="110">IF(R330&lt;=0.4,$D$238,IF(AND(R330&gt;0.4,R330&lt;=0.55),$D$239,IF(AND(R330&gt;0.55,R330&lt;=0.7),$D$240,IF(AND(R330&gt;0.7,R330&lt;=0.85),$D$241,IF(R330&gt;0.85,$D$242)))))</f>
        <v>C</v>
      </c>
      <c r="W330" s="202" t="str">
        <f t="shared" ref="W330:W360" si="111">IF(T330&gt;0.917,$D$238,IF(AND(T330&lt;0.917,T330&gt;=0.833),$D$239,IF(AND(T330&lt;0.833,T330&gt;=0.75),$D$240,IF(AND(T330&lt;0.75,T330&gt;=0.667),$D$241,IF(T330&lt;=0.667,$D$242)))))</f>
        <v>B</v>
      </c>
      <c r="X330" s="200">
        <f t="shared" ref="X330:X360" si="112">$H$141-(0.0125*P330)-(G330/100)</f>
        <v>81.82732682291666</v>
      </c>
    </row>
    <row r="331" spans="1:24" x14ac:dyDescent="0.25">
      <c r="A331" s="69">
        <f t="shared" si="94"/>
        <v>772.5</v>
      </c>
      <c r="B331" s="107">
        <v>1</v>
      </c>
      <c r="C331" s="107">
        <f t="shared" si="95"/>
        <v>1.1000000000000001</v>
      </c>
      <c r="D331" s="35">
        <f t="shared" si="96"/>
        <v>1</v>
      </c>
      <c r="E331" s="95">
        <f t="shared" ref="E331:E360" si="113">1/(1+$J$148*(C331-1)+$J$149*(D331-1))</f>
        <v>0.996661185030149</v>
      </c>
      <c r="F331" s="107">
        <f t="shared" si="97"/>
        <v>1</v>
      </c>
      <c r="G331" s="537">
        <f t="shared" si="98"/>
        <v>14.1</v>
      </c>
      <c r="H331" s="537">
        <f t="shared" si="99"/>
        <v>20.2</v>
      </c>
      <c r="I331" s="538">
        <f t="shared" si="100"/>
        <v>800</v>
      </c>
      <c r="J331" s="538">
        <f t="shared" si="101"/>
        <v>600</v>
      </c>
      <c r="K331" s="539">
        <f t="shared" si="102"/>
        <v>6.1</v>
      </c>
      <c r="L331" s="540">
        <f t="shared" ref="L331:L360" si="114">I331-J331</f>
        <v>200</v>
      </c>
      <c r="M331" s="539">
        <f t="shared" si="103"/>
        <v>5.2612500000000004</v>
      </c>
      <c r="N331" s="538">
        <f t="shared" ref="N331:N360" si="115">IF(G331&lt;H331,G331,H331)</f>
        <v>14.1</v>
      </c>
      <c r="O331" s="204">
        <f t="shared" si="104"/>
        <v>14.938749999999999</v>
      </c>
      <c r="P331" s="200">
        <f t="shared" si="105"/>
        <v>807.38320312500002</v>
      </c>
      <c r="Q331" s="204">
        <f t="shared" ref="Q331:Q360" si="116">1-EXP(-0.000879*P331)</f>
        <v>0.50820328833437767</v>
      </c>
      <c r="R331" s="204">
        <f t="shared" si="106"/>
        <v>0.65759078833437767</v>
      </c>
      <c r="S331" s="204">
        <f t="shared" si="107"/>
        <v>0.96</v>
      </c>
      <c r="T331" s="204">
        <f t="shared" si="108"/>
        <v>0.88848576056234096</v>
      </c>
      <c r="U331" s="202" t="str">
        <f t="shared" si="109"/>
        <v>D</v>
      </c>
      <c r="V331" s="202" t="str">
        <f t="shared" si="110"/>
        <v>C</v>
      </c>
      <c r="W331" s="202" t="str">
        <f t="shared" si="111"/>
        <v>B</v>
      </c>
      <c r="X331" s="200">
        <f t="shared" si="112"/>
        <v>81.533376627604156</v>
      </c>
    </row>
    <row r="332" spans="1:24" x14ac:dyDescent="0.25">
      <c r="A332" s="69">
        <f t="shared" si="94"/>
        <v>795.67499999999973</v>
      </c>
      <c r="B332" s="107">
        <v>2</v>
      </c>
      <c r="C332" s="107">
        <f t="shared" si="95"/>
        <v>1.1000000000000001</v>
      </c>
      <c r="D332" s="35">
        <f t="shared" si="96"/>
        <v>1</v>
      </c>
      <c r="E332" s="95">
        <f t="shared" si="113"/>
        <v>0.996661185030149</v>
      </c>
      <c r="F332" s="107">
        <f t="shared" si="97"/>
        <v>1</v>
      </c>
      <c r="G332" s="537">
        <f t="shared" si="98"/>
        <v>14.1</v>
      </c>
      <c r="H332" s="537">
        <f t="shared" si="99"/>
        <v>20.2</v>
      </c>
      <c r="I332" s="538">
        <f t="shared" si="100"/>
        <v>800</v>
      </c>
      <c r="J332" s="538">
        <f t="shared" si="101"/>
        <v>600</v>
      </c>
      <c r="K332" s="539">
        <f t="shared" si="102"/>
        <v>6.1</v>
      </c>
      <c r="L332" s="540">
        <f t="shared" si="114"/>
        <v>200</v>
      </c>
      <c r="M332" s="539">
        <f t="shared" si="103"/>
        <v>5.9680874999999913</v>
      </c>
      <c r="N332" s="538">
        <f t="shared" si="115"/>
        <v>14.1</v>
      </c>
      <c r="O332" s="204">
        <f t="shared" si="104"/>
        <v>14.231912500000007</v>
      </c>
      <c r="P332" s="200">
        <f t="shared" si="105"/>
        <v>831.60469921874983</v>
      </c>
      <c r="Q332" s="204">
        <f t="shared" si="116"/>
        <v>0.51856330483973745</v>
      </c>
      <c r="R332" s="204">
        <f t="shared" si="106"/>
        <v>0.66088242983973755</v>
      </c>
      <c r="S332" s="204">
        <f t="shared" si="107"/>
        <v>0.96</v>
      </c>
      <c r="T332" s="204">
        <f t="shared" si="108"/>
        <v>0.88518642854811791</v>
      </c>
      <c r="U332" s="202" t="str">
        <f t="shared" si="109"/>
        <v>D</v>
      </c>
      <c r="V332" s="202" t="str">
        <f t="shared" si="110"/>
        <v>C</v>
      </c>
      <c r="W332" s="202" t="str">
        <f t="shared" si="111"/>
        <v>B</v>
      </c>
      <c r="X332" s="200">
        <f t="shared" si="112"/>
        <v>81.230607926432285</v>
      </c>
    </row>
    <row r="333" spans="1:24" x14ac:dyDescent="0.25">
      <c r="A333" s="69">
        <f t="shared" si="94"/>
        <v>819.54525000000001</v>
      </c>
      <c r="B333" s="107">
        <v>3</v>
      </c>
      <c r="C333" s="107">
        <f t="shared" si="95"/>
        <v>1</v>
      </c>
      <c r="D333" s="35">
        <f t="shared" si="96"/>
        <v>1</v>
      </c>
      <c r="E333" s="95">
        <f t="shared" si="113"/>
        <v>1</v>
      </c>
      <c r="F333" s="107">
        <f t="shared" si="97"/>
        <v>1</v>
      </c>
      <c r="G333" s="537">
        <f t="shared" si="98"/>
        <v>6.7</v>
      </c>
      <c r="H333" s="537">
        <f t="shared" si="99"/>
        <v>20.2</v>
      </c>
      <c r="I333" s="538">
        <f t="shared" si="100"/>
        <v>1400</v>
      </c>
      <c r="J333" s="538">
        <f t="shared" si="101"/>
        <v>800</v>
      </c>
      <c r="K333" s="539">
        <f t="shared" si="102"/>
        <v>13.5</v>
      </c>
      <c r="L333" s="540">
        <f t="shared" si="114"/>
        <v>600</v>
      </c>
      <c r="M333" s="539">
        <f t="shared" si="103"/>
        <v>0.43976812500000023</v>
      </c>
      <c r="N333" s="538">
        <f t="shared" si="115"/>
        <v>6.7</v>
      </c>
      <c r="O333" s="204">
        <f t="shared" si="104"/>
        <v>19.760231874999999</v>
      </c>
      <c r="P333" s="200">
        <f t="shared" si="105"/>
        <v>853.69296875000009</v>
      </c>
      <c r="Q333" s="204">
        <f t="shared" si="116"/>
        <v>0.5278205238216489</v>
      </c>
      <c r="R333" s="204">
        <f t="shared" si="106"/>
        <v>0.72542284257164891</v>
      </c>
      <c r="S333" s="204">
        <f t="shared" si="107"/>
        <v>0.96</v>
      </c>
      <c r="T333" s="204">
        <f t="shared" si="108"/>
        <v>0.88298406709725752</v>
      </c>
      <c r="U333" s="202" t="str">
        <f t="shared" si="109"/>
        <v>D</v>
      </c>
      <c r="V333" s="202" t="str">
        <f t="shared" si="110"/>
        <v>D</v>
      </c>
      <c r="W333" s="202" t="str">
        <f t="shared" si="111"/>
        <v>B</v>
      </c>
      <c r="X333" s="200">
        <f t="shared" si="112"/>
        <v>81.028504557291669</v>
      </c>
    </row>
    <row r="334" spans="1:24" x14ac:dyDescent="0.25">
      <c r="A334" s="69">
        <f t="shared" si="94"/>
        <v>844.13160750000009</v>
      </c>
      <c r="B334" s="107">
        <v>4</v>
      </c>
      <c r="C334" s="107">
        <f t="shared" si="95"/>
        <v>1</v>
      </c>
      <c r="D334" s="35">
        <f t="shared" si="96"/>
        <v>1</v>
      </c>
      <c r="E334" s="95">
        <f t="shared" si="113"/>
        <v>1</v>
      </c>
      <c r="F334" s="107">
        <f t="shared" si="97"/>
        <v>1</v>
      </c>
      <c r="G334" s="537">
        <f t="shared" si="98"/>
        <v>6.7</v>
      </c>
      <c r="H334" s="537">
        <f t="shared" si="99"/>
        <v>20.2</v>
      </c>
      <c r="I334" s="538">
        <f t="shared" si="100"/>
        <v>1400</v>
      </c>
      <c r="J334" s="538">
        <f t="shared" si="101"/>
        <v>800</v>
      </c>
      <c r="K334" s="539">
        <f t="shared" si="102"/>
        <v>13.5</v>
      </c>
      <c r="L334" s="540">
        <f t="shared" si="114"/>
        <v>600</v>
      </c>
      <c r="M334" s="539">
        <f t="shared" si="103"/>
        <v>0.99296116875000207</v>
      </c>
      <c r="N334" s="538">
        <f t="shared" si="115"/>
        <v>6.7</v>
      </c>
      <c r="O334" s="204">
        <f t="shared" si="104"/>
        <v>19.207038831249996</v>
      </c>
      <c r="P334" s="200">
        <f t="shared" si="105"/>
        <v>879.30375781250007</v>
      </c>
      <c r="Q334" s="204">
        <f t="shared" si="116"/>
        <v>0.53833141930016759</v>
      </c>
      <c r="R334" s="204">
        <f t="shared" si="106"/>
        <v>0.73040180761266749</v>
      </c>
      <c r="S334" s="204">
        <f t="shared" si="107"/>
        <v>0.96</v>
      </c>
      <c r="T334" s="204">
        <f t="shared" si="108"/>
        <v>0.87949549248830816</v>
      </c>
      <c r="U334" s="202" t="str">
        <f t="shared" si="109"/>
        <v>D</v>
      </c>
      <c r="V334" s="202" t="str">
        <f t="shared" si="110"/>
        <v>D</v>
      </c>
      <c r="W334" s="202" t="str">
        <f t="shared" si="111"/>
        <v>B</v>
      </c>
      <c r="X334" s="200">
        <f t="shared" si="112"/>
        <v>80.708369694010415</v>
      </c>
    </row>
    <row r="335" spans="1:24" x14ac:dyDescent="0.25">
      <c r="A335" s="69">
        <f t="shared" si="94"/>
        <v>869.45555572499995</v>
      </c>
      <c r="B335" s="107">
        <v>5</v>
      </c>
      <c r="C335" s="107">
        <f t="shared" si="95"/>
        <v>1</v>
      </c>
      <c r="D335" s="35">
        <f t="shared" si="96"/>
        <v>1</v>
      </c>
      <c r="E335" s="95">
        <f t="shared" si="113"/>
        <v>1</v>
      </c>
      <c r="F335" s="107">
        <f t="shared" si="97"/>
        <v>1</v>
      </c>
      <c r="G335" s="537">
        <f t="shared" si="98"/>
        <v>6.7</v>
      </c>
      <c r="H335" s="537">
        <f t="shared" si="99"/>
        <v>20.2</v>
      </c>
      <c r="I335" s="538">
        <f t="shared" si="100"/>
        <v>1400</v>
      </c>
      <c r="J335" s="538">
        <f t="shared" si="101"/>
        <v>800</v>
      </c>
      <c r="K335" s="539">
        <f t="shared" si="102"/>
        <v>13.5</v>
      </c>
      <c r="L335" s="540">
        <f t="shared" si="114"/>
        <v>600</v>
      </c>
      <c r="M335" s="539">
        <f t="shared" si="103"/>
        <v>1.5627500038124988</v>
      </c>
      <c r="N335" s="538">
        <f t="shared" si="115"/>
        <v>6.7</v>
      </c>
      <c r="O335" s="204">
        <f t="shared" si="104"/>
        <v>18.637249996187499</v>
      </c>
      <c r="P335" s="200">
        <f t="shared" si="105"/>
        <v>905.68287054687494</v>
      </c>
      <c r="Q335" s="204">
        <f t="shared" si="116"/>
        <v>0.54891308560902075</v>
      </c>
      <c r="R335" s="204">
        <f t="shared" si="106"/>
        <v>0.73528558557089574</v>
      </c>
      <c r="S335" s="204">
        <f t="shared" si="107"/>
        <v>0.96</v>
      </c>
      <c r="T335" s="204">
        <f t="shared" si="108"/>
        <v>0.87590226064109045</v>
      </c>
      <c r="U335" s="202" t="str">
        <f t="shared" si="109"/>
        <v>D</v>
      </c>
      <c r="V335" s="202" t="str">
        <f t="shared" si="110"/>
        <v>D</v>
      </c>
      <c r="W335" s="202" t="str">
        <f t="shared" si="111"/>
        <v>B</v>
      </c>
      <c r="X335" s="200">
        <f t="shared" si="112"/>
        <v>80.378630784830733</v>
      </c>
    </row>
    <row r="336" spans="1:24" x14ac:dyDescent="0.25">
      <c r="A336" s="69">
        <f t="shared" si="94"/>
        <v>895.53922239674978</v>
      </c>
      <c r="B336" s="107">
        <v>6</v>
      </c>
      <c r="C336" s="107">
        <f t="shared" si="95"/>
        <v>1</v>
      </c>
      <c r="D336" s="35">
        <f t="shared" si="96"/>
        <v>1</v>
      </c>
      <c r="E336" s="95">
        <f t="shared" si="113"/>
        <v>1</v>
      </c>
      <c r="F336" s="107">
        <f t="shared" si="97"/>
        <v>1</v>
      </c>
      <c r="G336" s="537">
        <f t="shared" si="98"/>
        <v>6.7</v>
      </c>
      <c r="H336" s="537">
        <f t="shared" si="99"/>
        <v>20.2</v>
      </c>
      <c r="I336" s="538">
        <f t="shared" si="100"/>
        <v>1400</v>
      </c>
      <c r="J336" s="538">
        <f t="shared" si="101"/>
        <v>800</v>
      </c>
      <c r="K336" s="539">
        <f t="shared" si="102"/>
        <v>13.5</v>
      </c>
      <c r="L336" s="540">
        <f t="shared" si="114"/>
        <v>600</v>
      </c>
      <c r="M336" s="539">
        <f t="shared" si="103"/>
        <v>2.14963250392687</v>
      </c>
      <c r="N336" s="538">
        <f t="shared" si="115"/>
        <v>6.7</v>
      </c>
      <c r="O336" s="204">
        <f t="shared" si="104"/>
        <v>18.050367496073129</v>
      </c>
      <c r="P336" s="200">
        <f t="shared" si="105"/>
        <v>932.85335666328103</v>
      </c>
      <c r="Q336" s="204">
        <f t="shared" si="116"/>
        <v>0.55955870015846287</v>
      </c>
      <c r="R336" s="204">
        <f t="shared" si="106"/>
        <v>0.74006237511919415</v>
      </c>
      <c r="S336" s="204">
        <f t="shared" si="107"/>
        <v>0.96</v>
      </c>
      <c r="T336" s="204">
        <f t="shared" si="108"/>
        <v>0.8722012318384561</v>
      </c>
      <c r="U336" s="202" t="str">
        <f t="shared" si="109"/>
        <v>D</v>
      </c>
      <c r="V336" s="202" t="str">
        <f t="shared" si="110"/>
        <v>D</v>
      </c>
      <c r="W336" s="202" t="str">
        <f t="shared" si="111"/>
        <v>B</v>
      </c>
      <c r="X336" s="200">
        <f t="shared" si="112"/>
        <v>80.038999708375655</v>
      </c>
    </row>
    <row r="337" spans="1:24" x14ac:dyDescent="0.25">
      <c r="A337" s="69">
        <f t="shared" si="94"/>
        <v>922.40539906865251</v>
      </c>
      <c r="B337" s="107">
        <v>7</v>
      </c>
      <c r="C337" s="107">
        <f t="shared" si="95"/>
        <v>1</v>
      </c>
      <c r="D337" s="35">
        <f t="shared" si="96"/>
        <v>1</v>
      </c>
      <c r="E337" s="95">
        <f t="shared" si="113"/>
        <v>1</v>
      </c>
      <c r="F337" s="107">
        <f t="shared" si="97"/>
        <v>1</v>
      </c>
      <c r="G337" s="537">
        <f t="shared" si="98"/>
        <v>6.7</v>
      </c>
      <c r="H337" s="537">
        <f t="shared" si="99"/>
        <v>20.2</v>
      </c>
      <c r="I337" s="538">
        <f t="shared" si="100"/>
        <v>1400</v>
      </c>
      <c r="J337" s="538">
        <f t="shared" si="101"/>
        <v>800</v>
      </c>
      <c r="K337" s="539">
        <f>ABS(H337-G337)</f>
        <v>13.5</v>
      </c>
      <c r="L337" s="540">
        <f t="shared" si="114"/>
        <v>600</v>
      </c>
      <c r="M337" s="539">
        <f t="shared" si="103"/>
        <v>2.7541214790446817</v>
      </c>
      <c r="N337" s="538">
        <f t="shared" si="115"/>
        <v>6.7</v>
      </c>
      <c r="O337" s="204">
        <f t="shared" si="104"/>
        <v>17.445878520955318</v>
      </c>
      <c r="P337" s="200">
        <f t="shared" si="105"/>
        <v>960.8389573631797</v>
      </c>
      <c r="Q337" s="204">
        <f t="shared" si="116"/>
        <v>0.57026109118998769</v>
      </c>
      <c r="R337" s="204">
        <f t="shared" si="106"/>
        <v>0.74471987639954085</v>
      </c>
      <c r="S337" s="204">
        <f t="shared" si="107"/>
        <v>0.96</v>
      </c>
      <c r="T337" s="204">
        <f t="shared" si="108"/>
        <v>0.86838917217174283</v>
      </c>
      <c r="U337" s="202" t="str">
        <f t="shared" si="109"/>
        <v>D</v>
      </c>
      <c r="V337" s="202" t="str">
        <f t="shared" si="110"/>
        <v>D</v>
      </c>
      <c r="W337" s="202" t="str">
        <f t="shared" si="111"/>
        <v>B</v>
      </c>
      <c r="X337" s="200">
        <f t="shared" si="112"/>
        <v>79.689179699626933</v>
      </c>
    </row>
    <row r="338" spans="1:24" x14ac:dyDescent="0.25">
      <c r="A338" s="69">
        <f t="shared" si="94"/>
        <v>950.07756104071211</v>
      </c>
      <c r="B338" s="107">
        <v>8</v>
      </c>
      <c r="C338" s="107">
        <f t="shared" si="95"/>
        <v>1</v>
      </c>
      <c r="D338" s="35">
        <f t="shared" si="96"/>
        <v>1</v>
      </c>
      <c r="E338" s="95">
        <f t="shared" si="113"/>
        <v>1</v>
      </c>
      <c r="F338" s="107">
        <f t="shared" si="97"/>
        <v>1</v>
      </c>
      <c r="G338" s="537">
        <f t="shared" si="98"/>
        <v>6.7</v>
      </c>
      <c r="H338" s="537">
        <f t="shared" si="99"/>
        <v>20.2</v>
      </c>
      <c r="I338" s="538">
        <f t="shared" si="100"/>
        <v>1400</v>
      </c>
      <c r="J338" s="538">
        <f t="shared" si="101"/>
        <v>800</v>
      </c>
      <c r="K338" s="539">
        <f t="shared" si="102"/>
        <v>13.5</v>
      </c>
      <c r="L338" s="540">
        <f t="shared" si="114"/>
        <v>600</v>
      </c>
      <c r="M338" s="539">
        <f t="shared" si="103"/>
        <v>3.3767451234160224</v>
      </c>
      <c r="N338" s="538">
        <f t="shared" si="115"/>
        <v>6.7</v>
      </c>
      <c r="O338" s="204">
        <f t="shared" si="104"/>
        <v>16.823254876583977</v>
      </c>
      <c r="P338" s="200">
        <f t="shared" si="105"/>
        <v>989.66412608407518</v>
      </c>
      <c r="Q338" s="204">
        <f t="shared" si="116"/>
        <v>0.5810127406610428</v>
      </c>
      <c r="R338" s="204">
        <f t="shared" si="106"/>
        <v>0.74924528942688262</v>
      </c>
      <c r="S338" s="204">
        <f t="shared" si="107"/>
        <v>0.96</v>
      </c>
      <c r="T338" s="204">
        <f t="shared" si="108"/>
        <v>0.86446275071502798</v>
      </c>
      <c r="U338" s="202" t="str">
        <f t="shared" si="109"/>
        <v>D</v>
      </c>
      <c r="V338" s="202" t="str">
        <f t="shared" si="110"/>
        <v>D</v>
      </c>
      <c r="W338" s="202" t="str">
        <f t="shared" si="111"/>
        <v>B</v>
      </c>
      <c r="X338" s="200">
        <f t="shared" si="112"/>
        <v>79.328865090615736</v>
      </c>
    </row>
    <row r="339" spans="1:24" x14ac:dyDescent="0.25">
      <c r="A339" s="69">
        <f t="shared" si="94"/>
        <v>978.57988787193335</v>
      </c>
      <c r="B339" s="107">
        <v>9</v>
      </c>
      <c r="C339" s="107">
        <f t="shared" si="95"/>
        <v>1</v>
      </c>
      <c r="D339" s="35">
        <f t="shared" si="96"/>
        <v>1</v>
      </c>
      <c r="E339" s="95">
        <f t="shared" si="113"/>
        <v>1</v>
      </c>
      <c r="F339" s="107">
        <f t="shared" si="97"/>
        <v>1</v>
      </c>
      <c r="G339" s="537">
        <f t="shared" si="98"/>
        <v>6.7</v>
      </c>
      <c r="H339" s="537">
        <f>IF(B339&lt;=200,$I$245,IF(AND(B339&gt;200,B339&lt;=400),$I$246,IF(AND(B339&gt;400,B339&lt;=600),$I$247,IF(AND(B339&gt;600,B339&lt;=800),$I$248,IF(AND(B339&gt;800,B339&lt;=1400),$I$249,IF(AND(B339&gt;1400,B339&lt;=2000),$I$250,IF(AND(B339&gt;2000,B339&lt;=2600),$I$251,IF(B339&gt;2600,$I$252))))))))</f>
        <v>20.2</v>
      </c>
      <c r="I339" s="538">
        <f t="shared" si="100"/>
        <v>1400</v>
      </c>
      <c r="J339" s="538">
        <f t="shared" si="101"/>
        <v>800</v>
      </c>
      <c r="K339" s="539">
        <f>ABS(H339-G339)</f>
        <v>13.5</v>
      </c>
      <c r="L339" s="540">
        <f t="shared" si="114"/>
        <v>600</v>
      </c>
      <c r="M339" s="539">
        <f t="shared" si="103"/>
        <v>4.0180474771185004</v>
      </c>
      <c r="N339" s="538">
        <f t="shared" si="115"/>
        <v>6.7</v>
      </c>
      <c r="O339" s="204">
        <f t="shared" si="104"/>
        <v>16.181952522881499</v>
      </c>
      <c r="P339" s="200">
        <f t="shared" si="105"/>
        <v>1019.3540498665973</v>
      </c>
      <c r="Q339" s="204">
        <f t="shared" si="116"/>
        <v>0.59180578873554879</v>
      </c>
      <c r="R339" s="204">
        <f t="shared" si="106"/>
        <v>0.75362531396436383</v>
      </c>
      <c r="S339" s="204">
        <f t="shared" si="107"/>
        <v>0.96</v>
      </c>
      <c r="T339" s="204">
        <f t="shared" si="108"/>
        <v>0.86041853661461176</v>
      </c>
      <c r="U339" s="202" t="str">
        <f t="shared" si="109"/>
        <v>D</v>
      </c>
      <c r="V339" s="202" t="str">
        <f t="shared" si="110"/>
        <v>D</v>
      </c>
      <c r="W339" s="202" t="str">
        <f t="shared" si="111"/>
        <v>B</v>
      </c>
      <c r="X339" s="200">
        <f t="shared" si="112"/>
        <v>78.95774104333421</v>
      </c>
    </row>
    <row r="340" spans="1:24" x14ac:dyDescent="0.25">
      <c r="A340" s="69">
        <f t="shared" si="94"/>
        <v>1007.9372845080915</v>
      </c>
      <c r="B340" s="107">
        <v>10</v>
      </c>
      <c r="C340" s="107">
        <f t="shared" si="95"/>
        <v>1</v>
      </c>
      <c r="D340" s="35">
        <f t="shared" si="96"/>
        <v>1</v>
      </c>
      <c r="E340" s="95">
        <f t="shared" si="113"/>
        <v>1</v>
      </c>
      <c r="F340" s="107">
        <f t="shared" si="97"/>
        <v>1</v>
      </c>
      <c r="G340" s="537">
        <f t="shared" si="98"/>
        <v>6.7</v>
      </c>
      <c r="H340" s="537">
        <f t="shared" si="99"/>
        <v>20.2</v>
      </c>
      <c r="I340" s="538">
        <f t="shared" si="100"/>
        <v>1400</v>
      </c>
      <c r="J340" s="538">
        <f t="shared" si="101"/>
        <v>800</v>
      </c>
      <c r="K340" s="539">
        <f t="shared" si="102"/>
        <v>13.5</v>
      </c>
      <c r="L340" s="540">
        <f t="shared" si="114"/>
        <v>600</v>
      </c>
      <c r="M340" s="539">
        <f t="shared" si="103"/>
        <v>4.6785889014320583</v>
      </c>
      <c r="N340" s="538">
        <f t="shared" si="115"/>
        <v>6.7</v>
      </c>
      <c r="O340" s="204">
        <f t="shared" si="104"/>
        <v>15.521411098567942</v>
      </c>
      <c r="P340" s="200">
        <f t="shared" si="105"/>
        <v>1049.9346713625953</v>
      </c>
      <c r="Q340" s="204">
        <f t="shared" si="116"/>
        <v>0.60263203998277026</v>
      </c>
      <c r="R340" s="204">
        <f t="shared" si="106"/>
        <v>0.75784615096844965</v>
      </c>
      <c r="S340" s="204">
        <f t="shared" si="107"/>
        <v>0.96</v>
      </c>
      <c r="T340" s="204">
        <f t="shared" si="108"/>
        <v>0.85625299609118311</v>
      </c>
      <c r="U340" s="202" t="str">
        <f t="shared" si="109"/>
        <v>D</v>
      </c>
      <c r="V340" s="202" t="str">
        <f t="shared" si="110"/>
        <v>D</v>
      </c>
      <c r="W340" s="202" t="str">
        <f t="shared" si="111"/>
        <v>B</v>
      </c>
      <c r="X340" s="200">
        <f t="shared" si="112"/>
        <v>78.575483274634237</v>
      </c>
    </row>
    <row r="341" spans="1:24" x14ac:dyDescent="0.25">
      <c r="A341" s="69">
        <f t="shared" si="94"/>
        <v>1038.1754030433342</v>
      </c>
      <c r="B341" s="107">
        <v>11</v>
      </c>
      <c r="C341" s="107">
        <f t="shared" si="95"/>
        <v>1</v>
      </c>
      <c r="D341" s="35">
        <f t="shared" si="96"/>
        <v>1</v>
      </c>
      <c r="E341" s="95">
        <f t="shared" si="113"/>
        <v>1</v>
      </c>
      <c r="F341" s="107">
        <f t="shared" si="97"/>
        <v>1</v>
      </c>
      <c r="G341" s="537">
        <f t="shared" si="98"/>
        <v>6.7</v>
      </c>
      <c r="H341" s="537">
        <f t="shared" si="99"/>
        <v>20.2</v>
      </c>
      <c r="I341" s="538">
        <f t="shared" si="100"/>
        <v>1400</v>
      </c>
      <c r="J341" s="538">
        <f t="shared" si="101"/>
        <v>800</v>
      </c>
      <c r="K341" s="539">
        <f t="shared" si="102"/>
        <v>13.5</v>
      </c>
      <c r="L341" s="540">
        <f t="shared" si="114"/>
        <v>600</v>
      </c>
      <c r="M341" s="539">
        <f t="shared" si="103"/>
        <v>5.3589465684750195</v>
      </c>
      <c r="N341" s="538">
        <f t="shared" si="115"/>
        <v>6.7</v>
      </c>
      <c r="O341" s="204">
        <f t="shared" si="104"/>
        <v>14.84105343152498</v>
      </c>
      <c r="P341" s="200">
        <f t="shared" si="105"/>
        <v>1081.4327115034732</v>
      </c>
      <c r="Q341" s="204">
        <f t="shared" si="116"/>
        <v>0.61348297138447228</v>
      </c>
      <c r="R341" s="204">
        <f t="shared" si="106"/>
        <v>0.76189350569972203</v>
      </c>
      <c r="S341" s="204">
        <f t="shared" si="107"/>
        <v>0.96</v>
      </c>
      <c r="T341" s="204">
        <f t="shared" si="108"/>
        <v>0.85196248935205143</v>
      </c>
      <c r="U341" s="202" t="str">
        <f t="shared" si="109"/>
        <v>D</v>
      </c>
      <c r="V341" s="202" t="str">
        <f t="shared" si="110"/>
        <v>D</v>
      </c>
      <c r="W341" s="202" t="str">
        <f t="shared" si="111"/>
        <v>B</v>
      </c>
      <c r="X341" s="200">
        <f t="shared" si="112"/>
        <v>78.181757772873254</v>
      </c>
    </row>
    <row r="342" spans="1:24" x14ac:dyDescent="0.25">
      <c r="A342" s="69">
        <f t="shared" si="94"/>
        <v>1069.3206651346343</v>
      </c>
      <c r="B342" s="107">
        <v>12</v>
      </c>
      <c r="C342" s="107">
        <f t="shared" si="95"/>
        <v>1</v>
      </c>
      <c r="D342" s="35">
        <f t="shared" si="96"/>
        <v>1</v>
      </c>
      <c r="E342" s="95">
        <f t="shared" si="113"/>
        <v>1</v>
      </c>
      <c r="F342" s="107">
        <f t="shared" si="97"/>
        <v>1</v>
      </c>
      <c r="G342" s="537">
        <f t="shared" si="98"/>
        <v>6.7</v>
      </c>
      <c r="H342" s="537">
        <f t="shared" si="99"/>
        <v>20.2</v>
      </c>
      <c r="I342" s="538">
        <f t="shared" si="100"/>
        <v>1400</v>
      </c>
      <c r="J342" s="538">
        <f t="shared" si="101"/>
        <v>800</v>
      </c>
      <c r="K342" s="539">
        <f t="shared" si="102"/>
        <v>13.5</v>
      </c>
      <c r="L342" s="540">
        <f t="shared" si="114"/>
        <v>600</v>
      </c>
      <c r="M342" s="539">
        <f t="shared" si="103"/>
        <v>6.0597149655292712</v>
      </c>
      <c r="N342" s="538">
        <f t="shared" si="115"/>
        <v>6.7</v>
      </c>
      <c r="O342" s="204">
        <f t="shared" si="104"/>
        <v>14.140285034470729</v>
      </c>
      <c r="P342" s="200">
        <f t="shared" si="105"/>
        <v>1113.8756928485775</v>
      </c>
      <c r="Q342" s="204">
        <f t="shared" si="116"/>
        <v>0.62434974224651163</v>
      </c>
      <c r="R342" s="204">
        <f t="shared" si="106"/>
        <v>0.76575259259121897</v>
      </c>
      <c r="S342" s="204">
        <f t="shared" si="107"/>
        <v>0.96</v>
      </c>
      <c r="T342" s="204">
        <f t="shared" si="108"/>
        <v>0.84754326741074604</v>
      </c>
      <c r="U342" s="202" t="str">
        <f t="shared" si="109"/>
        <v>D</v>
      </c>
      <c r="V342" s="202" t="str">
        <f t="shared" si="110"/>
        <v>D</v>
      </c>
      <c r="W342" s="202" t="str">
        <f t="shared" si="111"/>
        <v>B</v>
      </c>
      <c r="X342" s="200">
        <f t="shared" si="112"/>
        <v>77.77622050605946</v>
      </c>
    </row>
    <row r="343" spans="1:24" x14ac:dyDescent="0.25">
      <c r="A343" s="69">
        <f t="shared" si="94"/>
        <v>1101.4002850886729</v>
      </c>
      <c r="B343" s="107">
        <v>13</v>
      </c>
      <c r="C343" s="107">
        <f t="shared" si="95"/>
        <v>1</v>
      </c>
      <c r="D343" s="35">
        <f t="shared" si="96"/>
        <v>1</v>
      </c>
      <c r="E343" s="95">
        <f t="shared" si="113"/>
        <v>1</v>
      </c>
      <c r="F343" s="107">
        <f t="shared" si="97"/>
        <v>1</v>
      </c>
      <c r="G343" s="537">
        <f t="shared" si="98"/>
        <v>6.7</v>
      </c>
      <c r="H343" s="537">
        <f t="shared" si="99"/>
        <v>20.2</v>
      </c>
      <c r="I343" s="538">
        <f t="shared" si="100"/>
        <v>1400</v>
      </c>
      <c r="J343" s="538">
        <f t="shared" si="101"/>
        <v>800</v>
      </c>
      <c r="K343" s="539">
        <f t="shared" si="102"/>
        <v>13.5</v>
      </c>
      <c r="L343" s="540">
        <f t="shared" si="114"/>
        <v>600</v>
      </c>
      <c r="M343" s="539">
        <f t="shared" si="103"/>
        <v>6.7815064144951416</v>
      </c>
      <c r="N343" s="538">
        <f t="shared" si="115"/>
        <v>6.7</v>
      </c>
      <c r="O343" s="204">
        <f t="shared" si="104"/>
        <v>13.418493585504859</v>
      </c>
      <c r="P343" s="200">
        <f t="shared" si="105"/>
        <v>1147.2919636340343</v>
      </c>
      <c r="Q343" s="204">
        <f t="shared" si="116"/>
        <v>0.63522320610592031</v>
      </c>
      <c r="R343" s="204">
        <f t="shared" si="106"/>
        <v>0.76940814196096885</v>
      </c>
      <c r="S343" s="204">
        <f t="shared" si="107"/>
        <v>0.96</v>
      </c>
      <c r="T343" s="204">
        <f t="shared" si="108"/>
        <v>0.84299146881120124</v>
      </c>
      <c r="U343" s="202" t="str">
        <f t="shared" si="109"/>
        <v>D</v>
      </c>
      <c r="V343" s="202" t="str">
        <f t="shared" si="110"/>
        <v>D</v>
      </c>
      <c r="W343" s="202" t="str">
        <f t="shared" si="111"/>
        <v>B</v>
      </c>
      <c r="X343" s="200">
        <f t="shared" si="112"/>
        <v>77.358517121241235</v>
      </c>
    </row>
    <row r="344" spans="1:24" x14ac:dyDescent="0.25">
      <c r="A344" s="69">
        <f t="shared" si="94"/>
        <v>1134.4422936413332</v>
      </c>
      <c r="B344" s="107">
        <v>14</v>
      </c>
      <c r="C344" s="107">
        <f t="shared" si="95"/>
        <v>1</v>
      </c>
      <c r="D344" s="35">
        <f t="shared" si="96"/>
        <v>1</v>
      </c>
      <c r="E344" s="95">
        <f t="shared" si="113"/>
        <v>1</v>
      </c>
      <c r="F344" s="107">
        <f t="shared" si="97"/>
        <v>1</v>
      </c>
      <c r="G344" s="537">
        <f t="shared" si="98"/>
        <v>6.7</v>
      </c>
      <c r="H344" s="537">
        <f t="shared" si="99"/>
        <v>20.2</v>
      </c>
      <c r="I344" s="538">
        <f t="shared" si="100"/>
        <v>1400</v>
      </c>
      <c r="J344" s="538">
        <f t="shared" si="101"/>
        <v>800</v>
      </c>
      <c r="K344" s="539">
        <f t="shared" si="102"/>
        <v>13.5</v>
      </c>
      <c r="L344" s="540">
        <f t="shared" si="114"/>
        <v>600</v>
      </c>
      <c r="M344" s="539">
        <f t="shared" si="103"/>
        <v>7.5249516069299975</v>
      </c>
      <c r="N344" s="538">
        <f t="shared" si="115"/>
        <v>6.7</v>
      </c>
      <c r="O344" s="204">
        <f t="shared" si="104"/>
        <v>12.675048393070002</v>
      </c>
      <c r="P344" s="200">
        <f t="shared" si="105"/>
        <v>1181.7107225430555</v>
      </c>
      <c r="Q344" s="204">
        <f t="shared" si="116"/>
        <v>0.64609392471806371</v>
      </c>
      <c r="R344" s="204">
        <f t="shared" si="106"/>
        <v>0.77284440864876369</v>
      </c>
      <c r="S344" s="204">
        <f t="shared" si="107"/>
        <v>0.96</v>
      </c>
      <c r="T344" s="204">
        <f t="shared" si="108"/>
        <v>0.83830311625367027</v>
      </c>
      <c r="U344" s="202" t="str">
        <f t="shared" si="109"/>
        <v>D</v>
      </c>
      <c r="V344" s="202" t="str">
        <f t="shared" si="110"/>
        <v>D</v>
      </c>
      <c r="W344" s="202" t="str">
        <f t="shared" si="111"/>
        <v>B</v>
      </c>
      <c r="X344" s="200">
        <f t="shared" si="112"/>
        <v>76.928282634878471</v>
      </c>
    </row>
    <row r="345" spans="1:24" x14ac:dyDescent="0.25">
      <c r="A345" s="69">
        <f t="shared" si="94"/>
        <v>1168.4755624505733</v>
      </c>
      <c r="B345" s="107">
        <v>15</v>
      </c>
      <c r="C345" s="107">
        <f t="shared" si="95"/>
        <v>1</v>
      </c>
      <c r="D345" s="35">
        <f t="shared" si="96"/>
        <v>1</v>
      </c>
      <c r="E345" s="95">
        <f t="shared" si="113"/>
        <v>1</v>
      </c>
      <c r="F345" s="107">
        <f t="shared" si="97"/>
        <v>1</v>
      </c>
      <c r="G345" s="537">
        <f t="shared" si="98"/>
        <v>6.7</v>
      </c>
      <c r="H345" s="537">
        <f t="shared" si="99"/>
        <v>20.2</v>
      </c>
      <c r="I345" s="538">
        <f t="shared" si="100"/>
        <v>1400</v>
      </c>
      <c r="J345" s="538">
        <f t="shared" si="101"/>
        <v>800</v>
      </c>
      <c r="K345" s="539">
        <f t="shared" si="102"/>
        <v>13.5</v>
      </c>
      <c r="L345" s="540">
        <f t="shared" si="114"/>
        <v>600</v>
      </c>
      <c r="M345" s="539">
        <f t="shared" si="103"/>
        <v>8.2907001551378983</v>
      </c>
      <c r="N345" s="538">
        <f t="shared" si="115"/>
        <v>6.7</v>
      </c>
      <c r="O345" s="204">
        <f t="shared" si="104"/>
        <v>11.909299844862101</v>
      </c>
      <c r="P345" s="200">
        <f t="shared" si="105"/>
        <v>1217.1620442193473</v>
      </c>
      <c r="Q345" s="204">
        <f t="shared" si="116"/>
        <v>0.65695218420048196</v>
      </c>
      <c r="R345" s="204">
        <f t="shared" si="106"/>
        <v>0.77604518264910294</v>
      </c>
      <c r="S345" s="204">
        <f t="shared" si="107"/>
        <v>0.96</v>
      </c>
      <c r="T345" s="204">
        <f t="shared" si="108"/>
        <v>0.83347411311941333</v>
      </c>
      <c r="U345" s="202" t="str">
        <f t="shared" si="109"/>
        <v>D</v>
      </c>
      <c r="V345" s="202" t="str">
        <f t="shared" si="110"/>
        <v>D</v>
      </c>
      <c r="W345" s="202" t="str">
        <f t="shared" si="111"/>
        <v>B</v>
      </c>
      <c r="X345" s="200">
        <f t="shared" si="112"/>
        <v>76.485141113924826</v>
      </c>
    </row>
    <row r="346" spans="1:24" x14ac:dyDescent="0.25">
      <c r="A346" s="69">
        <f t="shared" si="94"/>
        <v>1203.5298293240903</v>
      </c>
      <c r="B346" s="107">
        <v>16</v>
      </c>
      <c r="C346" s="107">
        <f t="shared" si="95"/>
        <v>1</v>
      </c>
      <c r="D346" s="35">
        <f t="shared" si="96"/>
        <v>1</v>
      </c>
      <c r="E346" s="95">
        <f t="shared" si="113"/>
        <v>1</v>
      </c>
      <c r="F346" s="107">
        <f t="shared" si="97"/>
        <v>1</v>
      </c>
      <c r="G346" s="537">
        <f t="shared" si="98"/>
        <v>6.7</v>
      </c>
      <c r="H346" s="537">
        <f t="shared" si="99"/>
        <v>20.2</v>
      </c>
      <c r="I346" s="538">
        <f t="shared" si="100"/>
        <v>1400</v>
      </c>
      <c r="J346" s="538">
        <f t="shared" si="101"/>
        <v>800</v>
      </c>
      <c r="K346" s="539">
        <f t="shared" si="102"/>
        <v>13.5</v>
      </c>
      <c r="L346" s="540">
        <f t="shared" si="114"/>
        <v>600</v>
      </c>
      <c r="M346" s="539">
        <f t="shared" si="103"/>
        <v>9.079421159792032</v>
      </c>
      <c r="N346" s="538">
        <f t="shared" si="115"/>
        <v>6.7</v>
      </c>
      <c r="O346" s="204">
        <f t="shared" si="104"/>
        <v>11.120578840207967</v>
      </c>
      <c r="P346" s="200">
        <f t="shared" si="105"/>
        <v>1253.6769055459274</v>
      </c>
      <c r="Q346" s="204">
        <f t="shared" si="116"/>
        <v>0.66778801340046645</v>
      </c>
      <c r="R346" s="204">
        <f t="shared" si="106"/>
        <v>0.77899380180254618</v>
      </c>
      <c r="S346" s="204">
        <f t="shared" si="107"/>
        <v>0.96</v>
      </c>
      <c r="T346" s="204">
        <f t="shared" si="108"/>
        <v>0.82850023989112875</v>
      </c>
      <c r="U346" s="202" t="str">
        <f t="shared" si="109"/>
        <v>D</v>
      </c>
      <c r="V346" s="202" t="str">
        <f t="shared" si="110"/>
        <v>D</v>
      </c>
      <c r="W346" s="202" t="str">
        <f t="shared" si="111"/>
        <v>C</v>
      </c>
      <c r="X346" s="200">
        <f t="shared" si="112"/>
        <v>76.02870534734258</v>
      </c>
    </row>
    <row r="347" spans="1:24" x14ac:dyDescent="0.25">
      <c r="A347" s="69">
        <f t="shared" si="94"/>
        <v>1239.6357242038132</v>
      </c>
      <c r="B347" s="107">
        <v>17</v>
      </c>
      <c r="C347" s="107">
        <f t="shared" si="95"/>
        <v>1</v>
      </c>
      <c r="D347" s="35">
        <f t="shared" si="96"/>
        <v>1</v>
      </c>
      <c r="E347" s="95">
        <f t="shared" si="113"/>
        <v>1</v>
      </c>
      <c r="F347" s="107">
        <f t="shared" si="97"/>
        <v>1</v>
      </c>
      <c r="G347" s="537">
        <f t="shared" si="98"/>
        <v>6.7</v>
      </c>
      <c r="H347" s="537">
        <f t="shared" si="99"/>
        <v>20.2</v>
      </c>
      <c r="I347" s="538">
        <f t="shared" si="100"/>
        <v>1400</v>
      </c>
      <c r="J347" s="538">
        <f t="shared" si="101"/>
        <v>800</v>
      </c>
      <c r="K347" s="539">
        <f t="shared" si="102"/>
        <v>13.5</v>
      </c>
      <c r="L347" s="540">
        <f t="shared" si="114"/>
        <v>600</v>
      </c>
      <c r="M347" s="539">
        <f t="shared" si="103"/>
        <v>9.8918037945857975</v>
      </c>
      <c r="N347" s="538">
        <f t="shared" si="115"/>
        <v>6.7</v>
      </c>
      <c r="O347" s="204">
        <f t="shared" si="104"/>
        <v>10.308196205414202</v>
      </c>
      <c r="P347" s="200">
        <f t="shared" si="105"/>
        <v>1291.2872127123055</v>
      </c>
      <c r="Q347" s="204">
        <f t="shared" si="116"/>
        <v>0.67859120454219246</v>
      </c>
      <c r="R347" s="204">
        <f t="shared" si="106"/>
        <v>0.78167316659633446</v>
      </c>
      <c r="S347" s="204">
        <f t="shared" si="107"/>
        <v>0.96</v>
      </c>
      <c r="T347" s="204">
        <f t="shared" si="108"/>
        <v>0.82337715046599547</v>
      </c>
      <c r="U347" s="202" t="str">
        <f t="shared" si="109"/>
        <v>D</v>
      </c>
      <c r="V347" s="202" t="str">
        <f t="shared" si="110"/>
        <v>D</v>
      </c>
      <c r="W347" s="202" t="str">
        <f t="shared" si="111"/>
        <v>C</v>
      </c>
      <c r="X347" s="200">
        <f t="shared" si="112"/>
        <v>75.558576507762851</v>
      </c>
    </row>
    <row r="348" spans="1:24" x14ac:dyDescent="0.25">
      <c r="A348" s="511">
        <f t="shared" si="94"/>
        <v>1276.8247959299274</v>
      </c>
      <c r="B348" s="107">
        <v>18</v>
      </c>
      <c r="C348" s="107">
        <f t="shared" si="95"/>
        <v>1</v>
      </c>
      <c r="D348" s="435">
        <f t="shared" si="96"/>
        <v>1</v>
      </c>
      <c r="E348" s="123">
        <f t="shared" si="113"/>
        <v>1</v>
      </c>
      <c r="F348" s="107">
        <f t="shared" si="97"/>
        <v>1</v>
      </c>
      <c r="G348" s="537">
        <f t="shared" si="98"/>
        <v>6.7</v>
      </c>
      <c r="H348" s="537">
        <f t="shared" si="99"/>
        <v>20.2</v>
      </c>
      <c r="I348" s="538">
        <f t="shared" si="100"/>
        <v>1400</v>
      </c>
      <c r="J348" s="538">
        <f t="shared" si="101"/>
        <v>800</v>
      </c>
      <c r="K348" s="539">
        <f t="shared" si="102"/>
        <v>13.5</v>
      </c>
      <c r="L348" s="540">
        <f t="shared" si="114"/>
        <v>600</v>
      </c>
      <c r="M348" s="539">
        <f t="shared" si="103"/>
        <v>10.728557908423367</v>
      </c>
      <c r="N348" s="538">
        <f t="shared" si="115"/>
        <v>6.7</v>
      </c>
      <c r="O348" s="204">
        <f t="shared" si="104"/>
        <v>9.4714420915766322</v>
      </c>
      <c r="P348" s="200">
        <f t="shared" si="105"/>
        <v>1330.0258290936745</v>
      </c>
      <c r="Q348" s="204">
        <f t="shared" si="116"/>
        <v>0.68935133619625266</v>
      </c>
      <c r="R348" s="204">
        <f t="shared" si="106"/>
        <v>0.78406575711201898</v>
      </c>
      <c r="S348" s="204">
        <f t="shared" si="107"/>
        <v>0.96</v>
      </c>
      <c r="T348" s="204">
        <f t="shared" si="108"/>
        <v>0.8181003683581084</v>
      </c>
      <c r="U348" s="202" t="str">
        <f t="shared" si="109"/>
        <v>D</v>
      </c>
      <c r="V348" s="202" t="str">
        <f t="shared" si="110"/>
        <v>D</v>
      </c>
      <c r="W348" s="202" t="str">
        <f t="shared" si="111"/>
        <v>C</v>
      </c>
      <c r="X348" s="200">
        <f t="shared" si="112"/>
        <v>75.074343802995742</v>
      </c>
    </row>
    <row r="349" spans="1:24" x14ac:dyDescent="0.25">
      <c r="A349" s="69">
        <f t="shared" si="94"/>
        <v>1315.1295398078253</v>
      </c>
      <c r="B349" s="107">
        <v>19</v>
      </c>
      <c r="C349" s="107">
        <f t="shared" si="95"/>
        <v>1</v>
      </c>
      <c r="D349" s="35">
        <f t="shared" si="96"/>
        <v>1</v>
      </c>
      <c r="E349" s="95">
        <f t="shared" si="113"/>
        <v>1</v>
      </c>
      <c r="F349" s="107">
        <f t="shared" si="97"/>
        <v>1</v>
      </c>
      <c r="G349" s="537">
        <f t="shared" si="98"/>
        <v>6.7</v>
      </c>
      <c r="H349" s="537">
        <f t="shared" si="99"/>
        <v>20.2</v>
      </c>
      <c r="I349" s="538">
        <f t="shared" si="100"/>
        <v>1400</v>
      </c>
      <c r="J349" s="538">
        <f t="shared" si="101"/>
        <v>800</v>
      </c>
      <c r="K349" s="539">
        <f t="shared" si="102"/>
        <v>13.5</v>
      </c>
      <c r="L349" s="540">
        <f t="shared" si="114"/>
        <v>600</v>
      </c>
      <c r="M349" s="539">
        <f t="shared" si="103"/>
        <v>11.59041464567607</v>
      </c>
      <c r="N349" s="538">
        <f t="shared" si="115"/>
        <v>6.7</v>
      </c>
      <c r="O349" s="204">
        <f t="shared" si="104"/>
        <v>8.6095853543239294</v>
      </c>
      <c r="P349" s="200">
        <f t="shared" si="105"/>
        <v>1369.9266039664847</v>
      </c>
      <c r="Q349" s="204">
        <f t="shared" si="116"/>
        <v>0.7000577985996691</v>
      </c>
      <c r="R349" s="204">
        <f t="shared" si="106"/>
        <v>0.78615365214290844</v>
      </c>
      <c r="S349" s="204">
        <f t="shared" si="107"/>
        <v>0.96</v>
      </c>
      <c r="T349" s="204">
        <f t="shared" si="108"/>
        <v>0.81266528278698447</v>
      </c>
      <c r="U349" s="202" t="str">
        <f t="shared" si="109"/>
        <v>D</v>
      </c>
      <c r="V349" s="202" t="str">
        <f t="shared" si="110"/>
        <v>D</v>
      </c>
      <c r="W349" s="202" t="str">
        <f t="shared" si="111"/>
        <v>C</v>
      </c>
      <c r="X349" s="200">
        <f t="shared" si="112"/>
        <v>74.575584117085612</v>
      </c>
    </row>
    <row r="350" spans="1:24" x14ac:dyDescent="0.25">
      <c r="A350" s="69">
        <f t="shared" si="94"/>
        <v>1354.5834260020602</v>
      </c>
      <c r="B350" s="107">
        <v>20</v>
      </c>
      <c r="C350" s="107">
        <f t="shared" si="95"/>
        <v>1</v>
      </c>
      <c r="D350" s="35">
        <f t="shared" si="96"/>
        <v>1</v>
      </c>
      <c r="E350" s="95">
        <f t="shared" si="113"/>
        <v>1</v>
      </c>
      <c r="F350" s="107">
        <f t="shared" si="97"/>
        <v>1</v>
      </c>
      <c r="G350" s="537">
        <f t="shared" si="98"/>
        <v>6.7</v>
      </c>
      <c r="H350" s="537">
        <f t="shared" si="99"/>
        <v>20.2</v>
      </c>
      <c r="I350" s="538">
        <f t="shared" si="100"/>
        <v>1400</v>
      </c>
      <c r="J350" s="538">
        <f t="shared" si="101"/>
        <v>800</v>
      </c>
      <c r="K350" s="539">
        <f t="shared" si="102"/>
        <v>13.5</v>
      </c>
      <c r="L350" s="540">
        <f t="shared" si="114"/>
        <v>600</v>
      </c>
      <c r="M350" s="539">
        <f t="shared" si="103"/>
        <v>12.478127085046353</v>
      </c>
      <c r="N350" s="538">
        <f t="shared" si="115"/>
        <v>6.7</v>
      </c>
      <c r="O350" s="204">
        <f t="shared" si="104"/>
        <v>7.7218729149536465</v>
      </c>
      <c r="P350" s="200">
        <f t="shared" si="105"/>
        <v>1411.0244020854793</v>
      </c>
      <c r="Q350" s="204">
        <f t="shared" si="116"/>
        <v>0.71069982133783738</v>
      </c>
      <c r="R350" s="204">
        <f t="shared" si="106"/>
        <v>0.7879185504873738</v>
      </c>
      <c r="S350" s="204">
        <f t="shared" si="107"/>
        <v>0.96</v>
      </c>
      <c r="T350" s="204">
        <f t="shared" si="108"/>
        <v>0.80706714464872698</v>
      </c>
      <c r="U350" s="202" t="str">
        <f t="shared" si="109"/>
        <v>D</v>
      </c>
      <c r="V350" s="202" t="str">
        <f t="shared" si="110"/>
        <v>D</v>
      </c>
      <c r="W350" s="202" t="str">
        <f t="shared" si="111"/>
        <v>C</v>
      </c>
      <c r="X350" s="200">
        <f t="shared" si="112"/>
        <v>74.061861640598181</v>
      </c>
    </row>
    <row r="351" spans="1:24" x14ac:dyDescent="0.25">
      <c r="A351" s="69">
        <f t="shared" si="94"/>
        <v>1395.2209287821215</v>
      </c>
      <c r="B351" s="107">
        <v>21</v>
      </c>
      <c r="C351" s="107">
        <f t="shared" si="95"/>
        <v>1</v>
      </c>
      <c r="D351" s="35">
        <f t="shared" si="96"/>
        <v>1</v>
      </c>
      <c r="E351" s="95">
        <f t="shared" si="113"/>
        <v>1</v>
      </c>
      <c r="F351" s="107">
        <f t="shared" si="97"/>
        <v>1</v>
      </c>
      <c r="G351" s="537">
        <f t="shared" si="98"/>
        <v>6.7</v>
      </c>
      <c r="H351" s="537">
        <f t="shared" si="99"/>
        <v>20.2</v>
      </c>
      <c r="I351" s="538">
        <f t="shared" si="100"/>
        <v>1400</v>
      </c>
      <c r="J351" s="538">
        <f t="shared" si="101"/>
        <v>800</v>
      </c>
      <c r="K351" s="539">
        <f t="shared" si="102"/>
        <v>13.5</v>
      </c>
      <c r="L351" s="540">
        <f t="shared" si="114"/>
        <v>600</v>
      </c>
      <c r="M351" s="539">
        <f t="shared" si="103"/>
        <v>13.392470897597734</v>
      </c>
      <c r="N351" s="538">
        <f t="shared" si="115"/>
        <v>6.7</v>
      </c>
      <c r="O351" s="204">
        <f t="shared" si="104"/>
        <v>6.8075291024022651</v>
      </c>
      <c r="P351" s="200">
        <f t="shared" si="105"/>
        <v>1453.3551341480434</v>
      </c>
      <c r="Q351" s="204">
        <f t="shared" si="116"/>
        <v>0.72126650338138432</v>
      </c>
      <c r="R351" s="204">
        <f t="shared" si="106"/>
        <v>0.78934179440540697</v>
      </c>
      <c r="S351" s="204">
        <f t="shared" si="107"/>
        <v>0.96</v>
      </c>
      <c r="T351" s="204">
        <f t="shared" si="108"/>
        <v>0.8013010623663217</v>
      </c>
      <c r="U351" s="202" t="str">
        <f t="shared" si="109"/>
        <v>D</v>
      </c>
      <c r="V351" s="202" t="str">
        <f t="shared" si="110"/>
        <v>D</v>
      </c>
      <c r="W351" s="202" t="str">
        <f t="shared" si="111"/>
        <v>C</v>
      </c>
      <c r="X351" s="200">
        <f t="shared" si="112"/>
        <v>73.532727489816125</v>
      </c>
    </row>
    <row r="352" spans="1:24" x14ac:dyDescent="0.25">
      <c r="A352" s="69">
        <f t="shared" si="94"/>
        <v>1437.0775566455852</v>
      </c>
      <c r="B352" s="107">
        <v>22</v>
      </c>
      <c r="C352" s="107">
        <f t="shared" si="95"/>
        <v>1</v>
      </c>
      <c r="D352" s="35">
        <f t="shared" si="96"/>
        <v>1</v>
      </c>
      <c r="E352" s="95">
        <f t="shared" si="113"/>
        <v>1</v>
      </c>
      <c r="F352" s="107">
        <f t="shared" si="97"/>
        <v>1</v>
      </c>
      <c r="G352" s="537">
        <f t="shared" si="98"/>
        <v>3.7</v>
      </c>
      <c r="H352" s="537">
        <f t="shared" si="99"/>
        <v>20.2</v>
      </c>
      <c r="I352" s="538">
        <f t="shared" si="100"/>
        <v>2000</v>
      </c>
      <c r="J352" s="538">
        <f t="shared" si="101"/>
        <v>1400</v>
      </c>
      <c r="K352" s="539">
        <f t="shared" si="102"/>
        <v>16.5</v>
      </c>
      <c r="L352" s="540">
        <f t="shared" si="114"/>
        <v>600</v>
      </c>
      <c r="M352" s="539">
        <f t="shared" si="103"/>
        <v>1.0196328077535934</v>
      </c>
      <c r="N352" s="538">
        <f t="shared" si="115"/>
        <v>3.7</v>
      </c>
      <c r="O352" s="204">
        <f t="shared" si="104"/>
        <v>19.180367192246408</v>
      </c>
      <c r="P352" s="200">
        <f t="shared" si="105"/>
        <v>1496.9557881724847</v>
      </c>
      <c r="Q352" s="204">
        <f t="shared" si="116"/>
        <v>0.73174684545058732</v>
      </c>
      <c r="R352" s="204">
        <f t="shared" si="106"/>
        <v>0.92355051737305138</v>
      </c>
      <c r="S352" s="204">
        <f t="shared" si="107"/>
        <v>0.96</v>
      </c>
      <c r="T352" s="204">
        <f t="shared" si="108"/>
        <v>0.7956889137069808</v>
      </c>
      <c r="U352" s="202" t="str">
        <f t="shared" si="109"/>
        <v>E</v>
      </c>
      <c r="V352" s="202" t="str">
        <f t="shared" si="110"/>
        <v>E</v>
      </c>
      <c r="W352" s="202" t="str">
        <f t="shared" si="111"/>
        <v>C</v>
      </c>
      <c r="X352" s="200">
        <f t="shared" si="112"/>
        <v>73.0177193145106</v>
      </c>
    </row>
    <row r="353" spans="1:24" x14ac:dyDescent="0.25">
      <c r="A353" s="69">
        <f t="shared" si="94"/>
        <v>1480.1898833449529</v>
      </c>
      <c r="B353" s="107">
        <v>23</v>
      </c>
      <c r="C353" s="107">
        <f t="shared" si="95"/>
        <v>1</v>
      </c>
      <c r="D353" s="35">
        <f t="shared" si="96"/>
        <v>1</v>
      </c>
      <c r="E353" s="95">
        <f t="shared" si="113"/>
        <v>1</v>
      </c>
      <c r="F353" s="107">
        <f t="shared" si="97"/>
        <v>1</v>
      </c>
      <c r="G353" s="537">
        <f t="shared" si="98"/>
        <v>3.7</v>
      </c>
      <c r="H353" s="537">
        <f t="shared" si="99"/>
        <v>20.2</v>
      </c>
      <c r="I353" s="538">
        <f t="shared" si="100"/>
        <v>2000</v>
      </c>
      <c r="J353" s="538">
        <f t="shared" si="101"/>
        <v>1400</v>
      </c>
      <c r="K353" s="539">
        <f t="shared" si="102"/>
        <v>16.5</v>
      </c>
      <c r="L353" s="540">
        <f t="shared" si="114"/>
        <v>600</v>
      </c>
      <c r="M353" s="539">
        <f t="shared" si="103"/>
        <v>2.2052217919862058</v>
      </c>
      <c r="N353" s="538">
        <f t="shared" si="115"/>
        <v>3.7</v>
      </c>
      <c r="O353" s="204">
        <f t="shared" si="104"/>
        <v>17.994778208013795</v>
      </c>
      <c r="P353" s="200">
        <f t="shared" si="105"/>
        <v>1541.8644618176593</v>
      </c>
      <c r="Q353" s="204">
        <f t="shared" si="116"/>
        <v>0.74212978465784474</v>
      </c>
      <c r="R353" s="204">
        <f t="shared" si="106"/>
        <v>0.92207756673798269</v>
      </c>
      <c r="S353" s="204">
        <f t="shared" si="107"/>
        <v>0.96</v>
      </c>
      <c r="T353" s="204">
        <f t="shared" si="108"/>
        <v>0.789571677013577</v>
      </c>
      <c r="U353" s="202" t="str">
        <f t="shared" si="109"/>
        <v>E</v>
      </c>
      <c r="V353" s="202" t="str">
        <f t="shared" si="110"/>
        <v>E</v>
      </c>
      <c r="W353" s="202" t="str">
        <f t="shared" si="111"/>
        <v>C</v>
      </c>
      <c r="X353" s="200">
        <f t="shared" si="112"/>
        <v>72.456360893945913</v>
      </c>
    </row>
    <row r="354" spans="1:24" x14ac:dyDescent="0.25">
      <c r="A354" s="69">
        <f t="shared" si="94"/>
        <v>1524.5955798453015</v>
      </c>
      <c r="B354" s="107">
        <v>24</v>
      </c>
      <c r="C354" s="107">
        <f t="shared" si="95"/>
        <v>1</v>
      </c>
      <c r="D354" s="35">
        <f t="shared" si="96"/>
        <v>1</v>
      </c>
      <c r="E354" s="95">
        <f t="shared" si="113"/>
        <v>1</v>
      </c>
      <c r="F354" s="107">
        <f t="shared" si="97"/>
        <v>1</v>
      </c>
      <c r="G354" s="537">
        <f t="shared" si="98"/>
        <v>3.7</v>
      </c>
      <c r="H354" s="537">
        <f t="shared" si="99"/>
        <v>20.2</v>
      </c>
      <c r="I354" s="538">
        <f t="shared" si="100"/>
        <v>2000</v>
      </c>
      <c r="J354" s="538">
        <f t="shared" si="101"/>
        <v>1400</v>
      </c>
      <c r="K354" s="539">
        <f t="shared" si="102"/>
        <v>16.5</v>
      </c>
      <c r="L354" s="540">
        <f t="shared" si="114"/>
        <v>600</v>
      </c>
      <c r="M354" s="539">
        <f t="shared" si="103"/>
        <v>3.4263784457457906</v>
      </c>
      <c r="N354" s="538">
        <f t="shared" si="115"/>
        <v>3.7</v>
      </c>
      <c r="O354" s="204">
        <f t="shared" si="104"/>
        <v>16.773621554254209</v>
      </c>
      <c r="P354" s="200">
        <f t="shared" si="105"/>
        <v>1588.120395672189</v>
      </c>
      <c r="Q354" s="204">
        <f t="shared" si="116"/>
        <v>0.75240423135478529</v>
      </c>
      <c r="R354" s="204">
        <f t="shared" si="106"/>
        <v>0.92014044689732732</v>
      </c>
      <c r="S354" s="204">
        <f t="shared" si="107"/>
        <v>0.96</v>
      </c>
      <c r="T354" s="204">
        <f t="shared" si="108"/>
        <v>0.7832709232193712</v>
      </c>
      <c r="U354" s="202" t="str">
        <f t="shared" si="109"/>
        <v>E</v>
      </c>
      <c r="V354" s="202" t="str">
        <f t="shared" si="110"/>
        <v>E</v>
      </c>
      <c r="W354" s="202" t="str">
        <f t="shared" si="111"/>
        <v>C</v>
      </c>
      <c r="X354" s="200">
        <f t="shared" si="112"/>
        <v>71.878161720764297</v>
      </c>
    </row>
    <row r="355" spans="1:24" x14ac:dyDescent="0.25">
      <c r="A355" s="69">
        <f t="shared" si="94"/>
        <v>1570.3334472406605</v>
      </c>
      <c r="B355" s="107">
        <v>25</v>
      </c>
      <c r="C355" s="107">
        <f t="shared" si="95"/>
        <v>1</v>
      </c>
      <c r="D355" s="35">
        <f t="shared" si="96"/>
        <v>1</v>
      </c>
      <c r="E355" s="95">
        <f t="shared" si="113"/>
        <v>1</v>
      </c>
      <c r="F355" s="107">
        <f t="shared" si="97"/>
        <v>1</v>
      </c>
      <c r="G355" s="537">
        <f t="shared" si="98"/>
        <v>3.7</v>
      </c>
      <c r="H355" s="537">
        <f t="shared" si="99"/>
        <v>20.2</v>
      </c>
      <c r="I355" s="538">
        <f t="shared" si="100"/>
        <v>2000</v>
      </c>
      <c r="J355" s="538">
        <f t="shared" si="101"/>
        <v>1400</v>
      </c>
      <c r="K355" s="539">
        <f t="shared" si="102"/>
        <v>16.5</v>
      </c>
      <c r="L355" s="540">
        <f t="shared" si="114"/>
        <v>600</v>
      </c>
      <c r="M355" s="539">
        <f t="shared" si="103"/>
        <v>4.6841697991181626</v>
      </c>
      <c r="N355" s="538">
        <f t="shared" si="115"/>
        <v>3.7</v>
      </c>
      <c r="O355" s="204">
        <f t="shared" si="104"/>
        <v>15.515830200881837</v>
      </c>
      <c r="P355" s="200">
        <f t="shared" si="105"/>
        <v>1635.7640075423546</v>
      </c>
      <c r="Q355" s="204">
        <f t="shared" si="116"/>
        <v>0.76255910808502669</v>
      </c>
      <c r="R355" s="204">
        <f t="shared" si="106"/>
        <v>0.917717410093845</v>
      </c>
      <c r="S355" s="204">
        <f t="shared" si="107"/>
        <v>0.96</v>
      </c>
      <c r="T355" s="204">
        <f t="shared" si="108"/>
        <v>0.77678114681133925</v>
      </c>
      <c r="U355" s="202" t="str">
        <f t="shared" si="109"/>
        <v>E</v>
      </c>
      <c r="V355" s="202" t="str">
        <f t="shared" si="110"/>
        <v>E</v>
      </c>
      <c r="W355" s="202" t="str">
        <f t="shared" si="111"/>
        <v>C</v>
      </c>
      <c r="X355" s="200">
        <f t="shared" si="112"/>
        <v>71.282616572387226</v>
      </c>
    </row>
    <row r="356" spans="1:24" x14ac:dyDescent="0.25">
      <c r="A356" s="69">
        <f t="shared" si="94"/>
        <v>1617.4434506578802</v>
      </c>
      <c r="B356" s="107">
        <v>26</v>
      </c>
      <c r="C356" s="107">
        <f t="shared" si="95"/>
        <v>1</v>
      </c>
      <c r="D356" s="35">
        <f t="shared" si="96"/>
        <v>1</v>
      </c>
      <c r="E356" s="95">
        <f t="shared" si="113"/>
        <v>1</v>
      </c>
      <c r="F356" s="107">
        <f t="shared" si="97"/>
        <v>1</v>
      </c>
      <c r="G356" s="537">
        <f t="shared" si="98"/>
        <v>3.7</v>
      </c>
      <c r="H356" s="537">
        <f t="shared" si="99"/>
        <v>20.2</v>
      </c>
      <c r="I356" s="538">
        <f t="shared" si="100"/>
        <v>2000</v>
      </c>
      <c r="J356" s="538">
        <f t="shared" si="101"/>
        <v>1400</v>
      </c>
      <c r="K356" s="539">
        <f t="shared" si="102"/>
        <v>16.5</v>
      </c>
      <c r="L356" s="540">
        <f t="shared" si="114"/>
        <v>600</v>
      </c>
      <c r="M356" s="539">
        <f t="shared" si="103"/>
        <v>5.9796948930917067</v>
      </c>
      <c r="N356" s="538">
        <f t="shared" si="115"/>
        <v>3.7</v>
      </c>
      <c r="O356" s="204">
        <f t="shared" si="104"/>
        <v>14.220305106908292</v>
      </c>
      <c r="P356" s="200">
        <f t="shared" si="105"/>
        <v>1684.8369277686254</v>
      </c>
      <c r="Q356" s="204">
        <f t="shared" si="116"/>
        <v>0.77258339051652447</v>
      </c>
      <c r="R356" s="204">
        <f t="shared" si="106"/>
        <v>0.9147864415856074</v>
      </c>
      <c r="S356" s="204">
        <f t="shared" si="107"/>
        <v>0.96</v>
      </c>
      <c r="T356" s="204">
        <f t="shared" si="108"/>
        <v>0.77009667711106622</v>
      </c>
      <c r="U356" s="202" t="str">
        <f t="shared" si="109"/>
        <v>E</v>
      </c>
      <c r="V356" s="202" t="str">
        <f t="shared" si="110"/>
        <v>E</v>
      </c>
      <c r="W356" s="202" t="str">
        <f t="shared" si="111"/>
        <v>C</v>
      </c>
      <c r="X356" s="200">
        <f t="shared" si="112"/>
        <v>70.669205069558842</v>
      </c>
    </row>
    <row r="357" spans="1:24" x14ac:dyDescent="0.25">
      <c r="A357" s="69">
        <f t="shared" si="94"/>
        <v>1665.9667541776164</v>
      </c>
      <c r="B357" s="107">
        <v>27</v>
      </c>
      <c r="C357" s="107">
        <f t="shared" si="95"/>
        <v>1</v>
      </c>
      <c r="D357" s="35">
        <f t="shared" si="96"/>
        <v>1</v>
      </c>
      <c r="E357" s="95">
        <f t="shared" si="113"/>
        <v>1</v>
      </c>
      <c r="F357" s="107">
        <f t="shared" si="97"/>
        <v>1</v>
      </c>
      <c r="G357" s="537">
        <f t="shared" si="98"/>
        <v>3.7</v>
      </c>
      <c r="H357" s="537">
        <f t="shared" si="99"/>
        <v>20.2</v>
      </c>
      <c r="I357" s="538">
        <f t="shared" si="100"/>
        <v>2000</v>
      </c>
      <c r="J357" s="538">
        <f t="shared" si="101"/>
        <v>1400</v>
      </c>
      <c r="K357" s="539">
        <f t="shared" si="102"/>
        <v>16.5</v>
      </c>
      <c r="L357" s="540">
        <f t="shared" si="114"/>
        <v>600</v>
      </c>
      <c r="M357" s="539">
        <f t="shared" si="103"/>
        <v>7.314085739884451</v>
      </c>
      <c r="N357" s="538">
        <f t="shared" si="115"/>
        <v>3.7</v>
      </c>
      <c r="O357" s="204">
        <f t="shared" si="104"/>
        <v>12.885914260115548</v>
      </c>
      <c r="P357" s="200">
        <f t="shared" si="105"/>
        <v>1735.3820356016838</v>
      </c>
      <c r="Q357" s="204">
        <f t="shared" si="116"/>
        <v>0.78246615019903432</v>
      </c>
      <c r="R357" s="204">
        <f t="shared" si="106"/>
        <v>0.91132529280018981</v>
      </c>
      <c r="S357" s="204">
        <f t="shared" si="107"/>
        <v>0.96</v>
      </c>
      <c r="T357" s="204">
        <f t="shared" si="108"/>
        <v>0.76321167331978501</v>
      </c>
      <c r="U357" s="202" t="str">
        <f t="shared" si="109"/>
        <v>E</v>
      </c>
      <c r="V357" s="202" t="str">
        <f t="shared" si="110"/>
        <v>E</v>
      </c>
      <c r="W357" s="202" t="str">
        <f t="shared" si="111"/>
        <v>C</v>
      </c>
      <c r="X357" s="200">
        <f t="shared" si="112"/>
        <v>70.037391221645606</v>
      </c>
    </row>
    <row r="358" spans="1:24" x14ac:dyDescent="0.25">
      <c r="A358" s="69">
        <f t="shared" si="94"/>
        <v>1715.9457568029454</v>
      </c>
      <c r="B358" s="107">
        <v>28</v>
      </c>
      <c r="C358" s="107">
        <f t="shared" si="95"/>
        <v>1</v>
      </c>
      <c r="D358" s="35">
        <f t="shared" si="96"/>
        <v>1</v>
      </c>
      <c r="E358" s="95">
        <f t="shared" si="113"/>
        <v>1</v>
      </c>
      <c r="F358" s="107">
        <f t="shared" si="97"/>
        <v>1</v>
      </c>
      <c r="G358" s="537">
        <f t="shared" si="98"/>
        <v>3.7</v>
      </c>
      <c r="H358" s="537">
        <f t="shared" si="99"/>
        <v>20.2</v>
      </c>
      <c r="I358" s="538">
        <f t="shared" si="100"/>
        <v>2000</v>
      </c>
      <c r="J358" s="538">
        <f t="shared" si="101"/>
        <v>1400</v>
      </c>
      <c r="K358" s="539">
        <f t="shared" si="102"/>
        <v>16.5</v>
      </c>
      <c r="L358" s="540">
        <f t="shared" si="114"/>
        <v>600</v>
      </c>
      <c r="M358" s="539">
        <f t="shared" si="103"/>
        <v>8.6885083120809981</v>
      </c>
      <c r="N358" s="538">
        <f t="shared" si="115"/>
        <v>3.7</v>
      </c>
      <c r="O358" s="204">
        <f t="shared" si="104"/>
        <v>11.511491687919001</v>
      </c>
      <c r="P358" s="200">
        <f t="shared" si="105"/>
        <v>1787.4434966697349</v>
      </c>
      <c r="Q358" s="204">
        <f t="shared" si="116"/>
        <v>0.79219659896269989</v>
      </c>
      <c r="R358" s="204">
        <f t="shared" si="106"/>
        <v>0.90731151584188985</v>
      </c>
      <c r="S358" s="204">
        <f t="shared" si="107"/>
        <v>0.96</v>
      </c>
      <c r="T358" s="204">
        <f t="shared" si="108"/>
        <v>0.75612011941476531</v>
      </c>
      <c r="U358" s="202" t="str">
        <f t="shared" si="109"/>
        <v>E</v>
      </c>
      <c r="V358" s="202" t="str">
        <f t="shared" si="110"/>
        <v>E</v>
      </c>
      <c r="W358" s="202" t="str">
        <f t="shared" si="111"/>
        <v>C</v>
      </c>
      <c r="X358" s="200">
        <f t="shared" si="112"/>
        <v>69.386622958294964</v>
      </c>
    </row>
    <row r="359" spans="1:24" x14ac:dyDescent="0.25">
      <c r="A359" s="69">
        <f t="shared" si="94"/>
        <v>1767.4241295070333</v>
      </c>
      <c r="B359" s="107">
        <v>29</v>
      </c>
      <c r="C359" s="107">
        <f t="shared" si="95"/>
        <v>1</v>
      </c>
      <c r="D359" s="35">
        <f t="shared" si="96"/>
        <v>1</v>
      </c>
      <c r="E359" s="95">
        <f t="shared" si="113"/>
        <v>1</v>
      </c>
      <c r="F359" s="107">
        <f t="shared" si="97"/>
        <v>1</v>
      </c>
      <c r="G359" s="537">
        <f t="shared" si="98"/>
        <v>3.7</v>
      </c>
      <c r="H359" s="537">
        <f t="shared" si="99"/>
        <v>20.2</v>
      </c>
      <c r="I359" s="538">
        <f t="shared" si="100"/>
        <v>2000</v>
      </c>
      <c r="J359" s="538">
        <f t="shared" si="101"/>
        <v>1400</v>
      </c>
      <c r="K359" s="539">
        <f t="shared" si="102"/>
        <v>16.5</v>
      </c>
      <c r="L359" s="540">
        <f t="shared" si="114"/>
        <v>600</v>
      </c>
      <c r="M359" s="539">
        <f t="shared" si="103"/>
        <v>10.104163561443416</v>
      </c>
      <c r="N359" s="538">
        <f t="shared" si="115"/>
        <v>3.7</v>
      </c>
      <c r="O359" s="204">
        <f t="shared" si="104"/>
        <v>10.095836438556583</v>
      </c>
      <c r="P359" s="200">
        <f t="shared" si="105"/>
        <v>1841.0668015698263</v>
      </c>
      <c r="Q359" s="204">
        <f t="shared" si="116"/>
        <v>0.80176413474343189</v>
      </c>
      <c r="R359" s="204">
        <f t="shared" si="106"/>
        <v>0.90272249912899771</v>
      </c>
      <c r="S359" s="204">
        <f t="shared" si="107"/>
        <v>0.96</v>
      </c>
      <c r="T359" s="204">
        <f t="shared" si="108"/>
        <v>0.7488158188925953</v>
      </c>
      <c r="U359" s="202" t="str">
        <f t="shared" si="109"/>
        <v>E</v>
      </c>
      <c r="V359" s="202" t="str">
        <f t="shared" si="110"/>
        <v>E</v>
      </c>
      <c r="W359" s="202" t="str">
        <f t="shared" si="111"/>
        <v>D</v>
      </c>
      <c r="X359" s="200">
        <f t="shared" si="112"/>
        <v>68.71633164704383</v>
      </c>
    </row>
    <row r="360" spans="1:24" x14ac:dyDescent="0.25">
      <c r="A360" s="69">
        <f t="shared" si="94"/>
        <v>1820.4468533922445</v>
      </c>
      <c r="B360" s="107">
        <v>30</v>
      </c>
      <c r="C360" s="107">
        <f t="shared" si="95"/>
        <v>1</v>
      </c>
      <c r="D360" s="35">
        <f t="shared" si="96"/>
        <v>1</v>
      </c>
      <c r="E360" s="95">
        <f t="shared" si="113"/>
        <v>1</v>
      </c>
      <c r="F360" s="107">
        <f t="shared" si="97"/>
        <v>1</v>
      </c>
      <c r="G360" s="537">
        <f t="shared" si="98"/>
        <v>3.7</v>
      </c>
      <c r="H360" s="537">
        <f t="shared" si="99"/>
        <v>20.2</v>
      </c>
      <c r="I360" s="538">
        <f t="shared" si="100"/>
        <v>2000</v>
      </c>
      <c r="J360" s="538">
        <f t="shared" si="101"/>
        <v>1400</v>
      </c>
      <c r="K360" s="539">
        <f t="shared" si="102"/>
        <v>16.5</v>
      </c>
      <c r="L360" s="540">
        <f t="shared" si="114"/>
        <v>600</v>
      </c>
      <c r="M360" s="539">
        <f t="shared" si="103"/>
        <v>11.562288468286724</v>
      </c>
      <c r="N360" s="538">
        <f t="shared" si="115"/>
        <v>3.7</v>
      </c>
      <c r="O360" s="204">
        <f t="shared" si="104"/>
        <v>8.6377115317132755</v>
      </c>
      <c r="P360" s="200">
        <f t="shared" si="105"/>
        <v>1896.2988056169215</v>
      </c>
      <c r="Q360" s="204">
        <f t="shared" si="116"/>
        <v>0.81115838858991063</v>
      </c>
      <c r="R360" s="204">
        <f t="shared" si="106"/>
        <v>0.8975355039070434</v>
      </c>
      <c r="S360" s="204">
        <f t="shared" si="107"/>
        <v>0.96</v>
      </c>
      <c r="T360" s="204">
        <f t="shared" si="108"/>
        <v>0.74129238935475994</v>
      </c>
      <c r="U360" s="202" t="str">
        <f t="shared" si="109"/>
        <v>E</v>
      </c>
      <c r="V360" s="202" t="str">
        <f t="shared" si="110"/>
        <v>E</v>
      </c>
      <c r="W360" s="202" t="str">
        <f t="shared" si="111"/>
        <v>D</v>
      </c>
      <c r="X360" s="200">
        <f t="shared" si="112"/>
        <v>68.025931596455138</v>
      </c>
    </row>
    <row r="361" spans="1:24" x14ac:dyDescent="0.25">
      <c r="A361" s="69">
        <f>J109/12</f>
        <v>1875.060258994012</v>
      </c>
      <c r="B361" s="107">
        <v>31</v>
      </c>
      <c r="C361" s="107">
        <f>IF(A361&lt;=100,$K$153,IF(AND(A361&gt;100,A361&lt;=200),$K$154, IF(AND(A361&gt;200,A361&lt;=300),$K$155,IF(AND(A361&gt;300,A361&lt;=400),$K$156,IF(AND(A361&gt;400,A361&lt;=500),$K$157,IF(AND(A361&gt;500,A361&lt;=600),$K$158,IF(AND(A361&gt;600,A361&lt;=700),$K$159,IF(AND(A361&gt;700,A361&lt;=800),$K$160, IF(A361&gt;800,$K$161)))))))))</f>
        <v>1</v>
      </c>
      <c r="D361" s="35">
        <f t="shared" si="96"/>
        <v>1</v>
      </c>
      <c r="E361" s="95">
        <f>1/(1+$J$148*(C361-1)+$J$149*(D361-1))</f>
        <v>1</v>
      </c>
      <c r="F361" s="107">
        <f>IF(A361&lt;=100,$J$168,IF(AND(A361&gt;100,A361&lt;=200),$J$169, IF(AND(A361&gt;200,A361&lt;=300),$J$170,IF(AND(A361&gt;300,A361&lt;=400),$J$171,IF(AND(A361&gt;400,A361&lt;=500),$J$172,IF(AND(A361&gt;500,A361&lt;=600),$J$173,IF(AND(A361&gt;600,A361&lt;=700),$J$174,IF(AND(A361&gt;700,A361&lt;=800),$J$175, IF(A361&gt;800,$J$176)))))))))</f>
        <v>1</v>
      </c>
      <c r="G361" s="537">
        <f>IF(A361&lt;=200,$I$246,IF(AND(A361&gt;200,A361&lt;=400),$I$247,IF(AND(A361&gt;400,A361&lt;=600),$I$248,IF(AND(A361&gt;600,A361&lt;=800),$I$249,IF(AND(A361&gt;800,A361&lt;=1400),$I$250,IF(AND(A361&gt;1400,A361&lt;=2000),$I$251,IF(AND(A361&gt;2000,A361&lt;=2600),$I$252,IF(A361&gt;2600,$I$253))))))))</f>
        <v>3.7</v>
      </c>
      <c r="H361" s="537">
        <f>IF(B361&lt;=200,$I$245,IF(AND(B361&gt;200,B361&lt;=400),$I$246,IF(AND(B361&gt;400,B361&lt;=600),$I$247,IF(AND(B361&gt;600,B361&lt;=800),$I$248,IF(AND(B361&gt;800,B361&lt;=1400),$I$249,IF(AND(B361&gt;1400,B361&lt;=2000),$I$250,IF(AND(B361&gt;2000,B361&lt;=2600),$I$251,IF(B361&gt;2600,$I$252))))))))</f>
        <v>20.2</v>
      </c>
      <c r="I361" s="538">
        <f>IF(A361&lt;=200,$H$246,IF(AND(A361&gt;200,A361&lt;=400),$H$247,IF(AND(A361&gt;400,A361&lt;=600),$H$248,IF(AND(A361&gt;600,A361&lt;=800),$H$249,IF(AND(A361&gt;800,A361&lt;=1400),$H$250,IF(AND(A361&gt;1400,A361&lt;=2000),$H$251,IF(AND(A361&gt;2000,A361&lt;=2600),$H$252,IF(A361&gt;2600,$H$253))))))))</f>
        <v>2000</v>
      </c>
      <c r="J361" s="538">
        <f>IF(A361&lt;=200,$H$244,IF(AND(A361&gt;200,A361&lt;=400),$H$246,IF(AND(A361&gt;400,A361&lt;=600),$H$247,IF(AND(A361&gt;600,A361&lt;=800),$H$248,IF(AND(A361&gt;800,A361&lt;=1400),$H$249,IF(AND(A361&gt;1400,A361&lt;=2000),$H$250,IF(AND(A361&gt;2000,A361&lt;=2600),$H$251,IF(A361&gt;2600,$H$252))))))))</f>
        <v>1400</v>
      </c>
      <c r="K361" s="539">
        <f>ABS(H361-G361)</f>
        <v>16.5</v>
      </c>
      <c r="L361" s="540">
        <f>I361-J361</f>
        <v>600</v>
      </c>
      <c r="M361" s="539">
        <f>((A361-J361)*K361)/L361</f>
        <v>13.064157122335329</v>
      </c>
      <c r="N361" s="538">
        <f>IF(G361&lt;H361,G361,H361)</f>
        <v>3.7</v>
      </c>
      <c r="O361" s="204">
        <f>IF(H361&lt;G361,H361+M361,H361-M361)</f>
        <v>7.1358428776646701</v>
      </c>
      <c r="P361" s="200">
        <f>A361/(S361*F361*E361)</f>
        <v>1953.1877697854293</v>
      </c>
      <c r="Q361" s="204">
        <f>1-EXP(-0.000879*P361)</f>
        <v>0.82036927257606429</v>
      </c>
      <c r="R361" s="204">
        <f>(Q361)+(O361/100)</f>
        <v>0.89172770135271096</v>
      </c>
      <c r="S361" s="204">
        <f t="shared" si="107"/>
        <v>0.96</v>
      </c>
      <c r="T361" s="204">
        <f>X361/$H$141</f>
        <v>0.73354325693078959</v>
      </c>
      <c r="U361" s="202" t="str">
        <f>IF(R361&lt;=0.35,$D$238,IF(AND(R361&gt;0.35,R361&lt;=0.5),$D$239,IF(AND(R361&gt;0.5,R361&lt;=0.65),$D$240,IF(AND(R361&gt;0.65,R361&lt;=0.8),$D$241,IF(R361&gt;0.8,$D$242)))))</f>
        <v>E</v>
      </c>
      <c r="V361" s="202" t="str">
        <f>IF(R361&lt;=0.4,$D$238,IF(AND(R361&gt;0.4,R361&lt;=0.55),$D$239,IF(AND(R361&gt;0.55,R361&lt;=0.7),$D$240,IF(AND(R361&gt;0.7,R361&lt;=0.85),$D$241,IF(R361&gt;0.85,$D$242)))))</f>
        <v>E</v>
      </c>
      <c r="W361" s="202" t="str">
        <f>IF(T361&gt;0.917,$D$238,IF(AND(T361&lt;0.917,T361&gt;=0.833),$D$239,IF(AND(T361&lt;0.833,T361&gt;=0.75),$D$240,IF(AND(T361&lt;0.75,T361&gt;=0.667),$D$241,IF(T361&lt;=0.667,$D$242)))))</f>
        <v>D</v>
      </c>
      <c r="X361" s="200">
        <f>$H$141-(0.0125*P361)-(G361/100)</f>
        <v>67.314819544348794</v>
      </c>
    </row>
    <row r="362" spans="1:24" x14ac:dyDescent="0.25">
      <c r="A362" s="69">
        <f>J110/12</f>
        <v>1931.312066763832</v>
      </c>
      <c r="B362" s="107">
        <v>32</v>
      </c>
      <c r="C362" s="107">
        <f>IF(A362&lt;=100,$K$153,IF(AND(A362&gt;100,A362&lt;=200),$K$154, IF(AND(A362&gt;200,A362&lt;=300),$K$155,IF(AND(A362&gt;300,A362&lt;=400),$K$156,IF(AND(A362&gt;400,A362&lt;=500),$K$157,IF(AND(A362&gt;500,A362&lt;=600),$K$158,IF(AND(A362&gt;600,A362&lt;=700),$K$159,IF(AND(A362&gt;700,A362&lt;=800),$K$160, IF(A362&gt;800,$K$161)))))))))</f>
        <v>1</v>
      </c>
      <c r="D362" s="35">
        <f t="shared" si="96"/>
        <v>1</v>
      </c>
      <c r="E362" s="95">
        <f>1/(1+$J$148*(C362-1)+$J$149*(D362-1))</f>
        <v>1</v>
      </c>
      <c r="F362" s="107">
        <f>IF(A362&lt;=100,$J$168,IF(AND(A362&gt;100,A362&lt;=200),$J$169, IF(AND(A362&gt;200,A362&lt;=300),$J$170,IF(AND(A362&gt;300,A362&lt;=400),$J$171,IF(AND(A362&gt;400,A362&lt;=500),$J$172,IF(AND(A362&gt;500,A362&lt;=600),$J$173,IF(AND(A362&gt;600,A362&lt;=700),$J$174,IF(AND(A362&gt;700,A362&lt;=800),$J$175, IF(A362&gt;800,$J$176)))))))))</f>
        <v>1</v>
      </c>
      <c r="G362" s="537">
        <f>IF(A362&lt;=200,$I$246,IF(AND(A362&gt;200,A362&lt;=400),$I$247,IF(AND(A362&gt;400,A362&lt;=600),$I$248,IF(AND(A362&gt;600,A362&lt;=800),$I$249,IF(AND(A362&gt;800,A362&lt;=1400),$I$250,IF(AND(A362&gt;1400,A362&lt;=2000),$I$251,IF(AND(A362&gt;2000,A362&lt;=2600),$I$252,IF(A362&gt;2600,$I$253))))))))</f>
        <v>3.7</v>
      </c>
      <c r="H362" s="537">
        <f>IF(B362&lt;=200,$I$245,IF(AND(B362&gt;200,B362&lt;=400),$I$246,IF(AND(B362&gt;400,B362&lt;=600),$I$247,IF(AND(B362&gt;600,B362&lt;=800),$I$248,IF(AND(B362&gt;800,B362&lt;=1400),$I$249,IF(AND(B362&gt;1400,B362&lt;=2000),$I$250,IF(AND(B362&gt;2000,B362&lt;=2600),$I$251,IF(B362&gt;2600,$I$252))))))))</f>
        <v>20.2</v>
      </c>
      <c r="I362" s="538">
        <f>IF(A362&lt;=200,$H$246,IF(AND(A362&gt;200,A362&lt;=400),$H$247,IF(AND(A362&gt;400,A362&lt;=600),$H$248,IF(AND(A362&gt;600,A362&lt;=800),$H$249,IF(AND(A362&gt;800,A362&lt;=1400),$H$250,IF(AND(A362&gt;1400,A362&lt;=2000),$H$251,IF(AND(A362&gt;2000,A362&lt;=2600),$H$252,IF(A362&gt;2600,$H$253))))))))</f>
        <v>2000</v>
      </c>
      <c r="J362" s="538">
        <f>IF(A362&lt;=200,$H$244,IF(AND(A362&gt;200,A362&lt;=400),$H$246,IF(AND(A362&gt;400,A362&lt;=600),$H$247,IF(AND(A362&gt;600,A362&lt;=800),$H$248,IF(AND(A362&gt;800,A362&lt;=1400),$H$249,IF(AND(A362&gt;1400,A362&lt;=2000),$H$250,IF(AND(A362&gt;2000,A362&lt;=2600),$H$251,IF(A362&gt;2600,$H$252))))))))</f>
        <v>1400</v>
      </c>
      <c r="K362" s="539">
        <f>ABS(H362-G362)</f>
        <v>16.5</v>
      </c>
      <c r="L362" s="540">
        <f>I362-J362</f>
        <v>600</v>
      </c>
      <c r="M362" s="539">
        <f>((A362-J362)*K362)/L362</f>
        <v>14.611081836005381</v>
      </c>
      <c r="N362" s="538">
        <f>IF(G362&lt;H362,G362,H362)</f>
        <v>3.7</v>
      </c>
      <c r="O362" s="204">
        <f>IF(H362&lt;G362,H362+M362,H362-M362)</f>
        <v>5.5889181639946184</v>
      </c>
      <c r="P362" s="200">
        <f>A362/(S362*F362*E362)</f>
        <v>2011.7834028789919</v>
      </c>
      <c r="Q362" s="204">
        <f>1-EXP(-0.000879*P362)</f>
        <v>0.82938702831222588</v>
      </c>
      <c r="R362" s="204">
        <f>(Q362)+(O362/100)</f>
        <v>0.88527620995217204</v>
      </c>
      <c r="S362" s="204">
        <f t="shared" si="107"/>
        <v>0.96</v>
      </c>
      <c r="T362" s="204">
        <f>X362/$H$141</f>
        <v>0.72556165053410016</v>
      </c>
      <c r="U362" s="202" t="str">
        <f>IF(R362&lt;=0.35,$D$238,IF(AND(R362&gt;0.35,R362&lt;=0.5),$D$239,IF(AND(R362&gt;0.5,R362&lt;=0.65),$D$240,IF(AND(R362&gt;0.65,R362&lt;=0.8),$D$241,IF(R362&gt;0.8,$D$242)))))</f>
        <v>E</v>
      </c>
      <c r="V362" s="202" t="str">
        <f>IF(R362&lt;=0.4,$D$238,IF(AND(R362&gt;0.4,R362&lt;=0.55),$D$239,IF(AND(R362&gt;0.55,R362&lt;=0.7),$D$240,IF(AND(R362&gt;0.7,R362&lt;=0.85),$D$241,IF(R362&gt;0.85,$D$242)))))</f>
        <v>E</v>
      </c>
      <c r="W362" s="202" t="str">
        <f>IF(T362&gt;0.917,$D$238,IF(AND(T362&lt;0.917,T362&gt;=0.833),$D$239,IF(AND(T362&lt;0.833,T362&gt;=0.75),$D$240,IF(AND(T362&lt;0.75,T362&gt;=0.667),$D$241,IF(T362&lt;=0.667,$D$242)))))</f>
        <v>D</v>
      </c>
      <c r="X362" s="200">
        <f>$H$141-(0.0125*P362)-(G362/100)</f>
        <v>66.582374130679256</v>
      </c>
    </row>
  </sheetData>
  <mergeCells count="13">
    <mergeCell ref="B223:G223"/>
    <mergeCell ref="G153:G161"/>
    <mergeCell ref="B187:G187"/>
    <mergeCell ref="J188:O188"/>
    <mergeCell ref="B189:G189"/>
    <mergeCell ref="J190:O190"/>
    <mergeCell ref="B198:G198"/>
    <mergeCell ref="B207:G207"/>
    <mergeCell ref="A168:A176"/>
    <mergeCell ref="A152:A160"/>
    <mergeCell ref="J211:O211"/>
    <mergeCell ref="J213:O213"/>
    <mergeCell ref="B215:G215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5"/>
  <sheetViews>
    <sheetView workbookViewId="0">
      <selection activeCell="O136" sqref="O136"/>
    </sheetView>
  </sheetViews>
  <sheetFormatPr baseColWidth="10" defaultRowHeight="15" x14ac:dyDescent="0.25"/>
  <cols>
    <col min="1" max="1" width="16.140625" customWidth="1"/>
    <col min="3" max="3" width="15.85546875" customWidth="1"/>
    <col min="4" max="4" width="18" customWidth="1"/>
    <col min="15" max="15" width="11.85546875" bestFit="1" customWidth="1"/>
  </cols>
  <sheetData>
    <row r="1" spans="1:10" x14ac:dyDescent="0.25">
      <c r="A1" s="67" t="s">
        <v>163</v>
      </c>
      <c r="B1" s="67"/>
      <c r="C1" s="67"/>
    </row>
    <row r="2" spans="1:10" x14ac:dyDescent="0.25">
      <c r="A2" s="68" t="s">
        <v>18</v>
      </c>
      <c r="B2" s="68" t="s">
        <v>45</v>
      </c>
      <c r="C2" s="41" t="s">
        <v>46</v>
      </c>
      <c r="D2" s="41" t="s">
        <v>47</v>
      </c>
      <c r="E2" s="41" t="s">
        <v>48</v>
      </c>
      <c r="F2" s="41" t="s">
        <v>49</v>
      </c>
      <c r="G2" s="41" t="s">
        <v>50</v>
      </c>
      <c r="H2" s="41" t="s">
        <v>51</v>
      </c>
      <c r="I2" s="41" t="s">
        <v>52</v>
      </c>
      <c r="J2" s="41" t="s">
        <v>53</v>
      </c>
    </row>
    <row r="3" spans="1:10" x14ac:dyDescent="0.25">
      <c r="A3" s="41">
        <v>2013</v>
      </c>
      <c r="B3" s="41">
        <v>0</v>
      </c>
      <c r="C3" s="206">
        <f>'2 CARRILES HCM'!C3</f>
        <v>3595.5</v>
      </c>
      <c r="D3" s="206">
        <f>'2 CARRILES HCM'!D3</f>
        <v>243</v>
      </c>
      <c r="E3" s="206">
        <f>'2 CARRILES HCM'!E3</f>
        <v>306</v>
      </c>
      <c r="F3" s="206">
        <f>'2 CARRILES HCM'!F3</f>
        <v>90</v>
      </c>
      <c r="G3" s="206">
        <f>'2 CARRILES HCM'!G3</f>
        <v>92.25</v>
      </c>
      <c r="H3" s="206">
        <f>'2 CARRILES HCM'!H3</f>
        <v>45</v>
      </c>
      <c r="I3" s="206">
        <f>'2 CARRILES HCM'!I3</f>
        <v>128.25</v>
      </c>
      <c r="J3" s="207">
        <f t="shared" ref="J3:J33" si="0">SUM(C3:I3)</f>
        <v>4500</v>
      </c>
    </row>
    <row r="4" spans="1:10" x14ac:dyDescent="0.25">
      <c r="A4" s="41">
        <v>2014</v>
      </c>
      <c r="B4" s="41">
        <v>1</v>
      </c>
      <c r="C4" s="206">
        <f>'2 CARRILES HCM'!C4</f>
        <v>3703.3650000000002</v>
      </c>
      <c r="D4" s="206">
        <f>'2 CARRILES HCM'!D4</f>
        <v>250.29000000000002</v>
      </c>
      <c r="E4" s="206">
        <f>'2 CARRILES HCM'!E4</f>
        <v>315.18</v>
      </c>
      <c r="F4" s="206">
        <f>'2 CARRILES HCM'!F4</f>
        <v>92.7</v>
      </c>
      <c r="G4" s="206">
        <f>'2 CARRILES HCM'!G4</f>
        <v>95.017499999999998</v>
      </c>
      <c r="H4" s="206">
        <f>'2 CARRILES HCM'!H4</f>
        <v>46.35</v>
      </c>
      <c r="I4" s="206">
        <f>'2 CARRILES HCM'!I4</f>
        <v>132.0975</v>
      </c>
      <c r="J4" s="207">
        <f t="shared" si="0"/>
        <v>4635</v>
      </c>
    </row>
    <row r="5" spans="1:10" x14ac:dyDescent="0.25">
      <c r="A5" s="41">
        <v>2015</v>
      </c>
      <c r="B5" s="41">
        <v>2</v>
      </c>
      <c r="C5" s="206">
        <f>'2 CARRILES HCM'!C5</f>
        <v>3814.4659499999998</v>
      </c>
      <c r="D5" s="206">
        <f>'2 CARRILES HCM'!D5</f>
        <v>257.7987</v>
      </c>
      <c r="E5" s="206">
        <f>'2 CARRILES HCM'!E5</f>
        <v>324.6354</v>
      </c>
      <c r="F5" s="206">
        <f>'2 CARRILES HCM'!F5</f>
        <v>95.480999999999995</v>
      </c>
      <c r="G5" s="206">
        <f>'2 CARRILES HCM'!G5</f>
        <v>97.868024999999989</v>
      </c>
      <c r="H5" s="206">
        <f>'2 CARRILES HCM'!H5</f>
        <v>47.740499999999997</v>
      </c>
      <c r="I5" s="206">
        <f>'2 CARRILES HCM'!I5</f>
        <v>136.06042499999998</v>
      </c>
      <c r="J5" s="207">
        <f t="shared" si="0"/>
        <v>4774.0499999999984</v>
      </c>
    </row>
    <row r="6" spans="1:10" x14ac:dyDescent="0.25">
      <c r="A6" s="41">
        <v>2016</v>
      </c>
      <c r="B6" s="41">
        <v>3</v>
      </c>
      <c r="C6" s="206">
        <f>'2 CARRILES HCM'!C6</f>
        <v>3928.8999285</v>
      </c>
      <c r="D6" s="206">
        <f>'2 CARRILES HCM'!D6</f>
        <v>265.53266100000002</v>
      </c>
      <c r="E6" s="206">
        <f>'2 CARRILES HCM'!E6</f>
        <v>334.37446199999999</v>
      </c>
      <c r="F6" s="206">
        <f>'2 CARRILES HCM'!F6</f>
        <v>98.345429999999993</v>
      </c>
      <c r="G6" s="206">
        <f>'2 CARRILES HCM'!G6</f>
        <v>100.80406575000001</v>
      </c>
      <c r="H6" s="206">
        <f>'2 CARRILES HCM'!H6</f>
        <v>49.172714999999997</v>
      </c>
      <c r="I6" s="206">
        <f>'2 CARRILES HCM'!I6</f>
        <v>140.14223774999999</v>
      </c>
      <c r="J6" s="207">
        <f t="shared" si="0"/>
        <v>4917.2714999999998</v>
      </c>
    </row>
    <row r="7" spans="1:10" x14ac:dyDescent="0.25">
      <c r="A7" s="41">
        <v>2017</v>
      </c>
      <c r="B7" s="41">
        <v>4</v>
      </c>
      <c r="C7" s="206">
        <f>'2 CARRILES HCM'!C7</f>
        <v>4046.7669263549997</v>
      </c>
      <c r="D7" s="206">
        <f>'2 CARRILES HCM'!D7</f>
        <v>273.49864083</v>
      </c>
      <c r="E7" s="206">
        <f>'2 CARRILES HCM'!E7</f>
        <v>344.40569585999998</v>
      </c>
      <c r="F7" s="206">
        <f>'2 CARRILES HCM'!F7</f>
        <v>101.2957929</v>
      </c>
      <c r="G7" s="206">
        <f>'2 CARRILES HCM'!G7</f>
        <v>103.82818772249999</v>
      </c>
      <c r="H7" s="206">
        <f>'2 CARRILES HCM'!H7</f>
        <v>50.647896449999998</v>
      </c>
      <c r="I7" s="206">
        <f>'2 CARRILES HCM'!I7</f>
        <v>144.3465048825</v>
      </c>
      <c r="J7" s="207">
        <f t="shared" si="0"/>
        <v>5064.7896450000007</v>
      </c>
    </row>
    <row r="8" spans="1:10" x14ac:dyDescent="0.25">
      <c r="A8" s="41">
        <v>2018</v>
      </c>
      <c r="B8" s="41">
        <v>5</v>
      </c>
      <c r="C8" s="206">
        <f>'2 CARRILES HCM'!C8</f>
        <v>4168.1699341456497</v>
      </c>
      <c r="D8" s="206">
        <f>'2 CARRILES HCM'!D8</f>
        <v>281.70360005489994</v>
      </c>
      <c r="E8" s="206">
        <f>'2 CARRILES HCM'!E8</f>
        <v>354.73786673579997</v>
      </c>
      <c r="F8" s="206">
        <f>'2 CARRILES HCM'!F8</f>
        <v>104.33466668699998</v>
      </c>
      <c r="G8" s="206">
        <f>'2 CARRILES HCM'!G8</f>
        <v>106.94303335417499</v>
      </c>
      <c r="H8" s="206">
        <f>'2 CARRILES HCM'!H8</f>
        <v>52.16733334349999</v>
      </c>
      <c r="I8" s="206">
        <f>'2 CARRILES HCM'!I8</f>
        <v>148.67690002897498</v>
      </c>
      <c r="J8" s="207">
        <f t="shared" si="0"/>
        <v>5216.7333343499995</v>
      </c>
    </row>
    <row r="9" spans="1:10" x14ac:dyDescent="0.25">
      <c r="A9" s="41">
        <v>2019</v>
      </c>
      <c r="B9" s="41">
        <v>6</v>
      </c>
      <c r="C9" s="206">
        <f>'2 CARRILES HCM'!C9</f>
        <v>4293.2150321700192</v>
      </c>
      <c r="D9" s="206">
        <f>'2 CARRILES HCM'!D9</f>
        <v>290.15470805654695</v>
      </c>
      <c r="E9" s="206">
        <f>'2 CARRILES HCM'!E9</f>
        <v>365.38000273787395</v>
      </c>
      <c r="F9" s="206">
        <f>'2 CARRILES HCM'!F9</f>
        <v>107.46470668760999</v>
      </c>
      <c r="G9" s="206">
        <f>'2 CARRILES HCM'!G9</f>
        <v>110.15132435480024</v>
      </c>
      <c r="H9" s="206">
        <f>'2 CARRILES HCM'!H9</f>
        <v>53.732353343804995</v>
      </c>
      <c r="I9" s="206">
        <f>'2 CARRILES HCM'!I9</f>
        <v>153.13720702984423</v>
      </c>
      <c r="J9" s="207">
        <f t="shared" si="0"/>
        <v>5373.2353343804989</v>
      </c>
    </row>
    <row r="10" spans="1:10" x14ac:dyDescent="0.25">
      <c r="A10" s="41">
        <v>2020</v>
      </c>
      <c r="B10" s="41">
        <v>7</v>
      </c>
      <c r="C10" s="206">
        <f>'2 CARRILES HCM'!C10</f>
        <v>4422.0114831351202</v>
      </c>
      <c r="D10" s="206">
        <f>'2 CARRILES HCM'!D10</f>
        <v>298.85934929824339</v>
      </c>
      <c r="E10" s="206">
        <f>'2 CARRILES HCM'!E10</f>
        <v>376.34140282001022</v>
      </c>
      <c r="F10" s="206">
        <f>'2 CARRILES HCM'!F10</f>
        <v>110.68864788823829</v>
      </c>
      <c r="G10" s="206">
        <f>'2 CARRILES HCM'!G10</f>
        <v>113.45586408544426</v>
      </c>
      <c r="H10" s="206">
        <f>'2 CARRILES HCM'!H10</f>
        <v>55.344323944119147</v>
      </c>
      <c r="I10" s="206">
        <f>'2 CARRILES HCM'!I10</f>
        <v>157.73132324073958</v>
      </c>
      <c r="J10" s="207">
        <f t="shared" si="0"/>
        <v>5534.4323944119151</v>
      </c>
    </row>
    <row r="11" spans="1:10" x14ac:dyDescent="0.25">
      <c r="A11" s="41">
        <v>2021</v>
      </c>
      <c r="B11" s="41">
        <v>8</v>
      </c>
      <c r="C11" s="206">
        <f>'2 CARRILES HCM'!C11</f>
        <v>4554.6718276291731</v>
      </c>
      <c r="D11" s="206">
        <f>'2 CARRILES HCM'!D11</f>
        <v>307.82512977719068</v>
      </c>
      <c r="E11" s="206">
        <f>'2 CARRILES HCM'!E11</f>
        <v>387.63164490461048</v>
      </c>
      <c r="F11" s="206">
        <f>'2 CARRILES HCM'!F11</f>
        <v>114.00930732488544</v>
      </c>
      <c r="G11" s="206">
        <f>'2 CARRILES HCM'!G11</f>
        <v>116.85954000800757</v>
      </c>
      <c r="H11" s="206">
        <f>'2 CARRILES HCM'!H11</f>
        <v>57.00465366244272</v>
      </c>
      <c r="I11" s="206">
        <f>'2 CARRILES HCM'!I11</f>
        <v>162.46326293796173</v>
      </c>
      <c r="J11" s="207">
        <f t="shared" si="0"/>
        <v>5700.4653662442724</v>
      </c>
    </row>
    <row r="12" spans="1:10" x14ac:dyDescent="0.25">
      <c r="A12" s="41">
        <v>2022</v>
      </c>
      <c r="B12" s="41">
        <v>9</v>
      </c>
      <c r="C12" s="206">
        <f>'2 CARRILES HCM'!C12</f>
        <v>4691.3119824580481</v>
      </c>
      <c r="D12" s="206">
        <f>'2 CARRILES HCM'!D12</f>
        <v>317.05988367050639</v>
      </c>
      <c r="E12" s="206">
        <f>'2 CARRILES HCM'!E12</f>
        <v>399.26059425174878</v>
      </c>
      <c r="F12" s="206">
        <f>'2 CARRILES HCM'!F12</f>
        <v>117.429586544632</v>
      </c>
      <c r="G12" s="206">
        <f>'2 CARRILES HCM'!G12</f>
        <v>120.36532620824781</v>
      </c>
      <c r="H12" s="206">
        <f>'2 CARRILES HCM'!H12</f>
        <v>58.714793272316001</v>
      </c>
      <c r="I12" s="206">
        <f>'2 CARRILES HCM'!I12</f>
        <v>167.33716082610061</v>
      </c>
      <c r="J12" s="207">
        <f t="shared" si="0"/>
        <v>5871.4793272316001</v>
      </c>
    </row>
    <row r="13" spans="1:10" x14ac:dyDescent="0.25">
      <c r="A13" s="41">
        <v>2023</v>
      </c>
      <c r="B13" s="41">
        <v>10</v>
      </c>
      <c r="C13" s="206">
        <f>'2 CARRILES HCM'!C13</f>
        <v>4832.0513419317895</v>
      </c>
      <c r="D13" s="206">
        <f>'2 CARRILES HCM'!D13</f>
        <v>326.57168018062157</v>
      </c>
      <c r="E13" s="206">
        <f>'2 CARRILES HCM'!E13</f>
        <v>411.23841207930127</v>
      </c>
      <c r="F13" s="206">
        <f>'2 CARRILES HCM'!F13</f>
        <v>120.95247414097096</v>
      </c>
      <c r="G13" s="206">
        <f>'2 CARRILES HCM'!G13</f>
        <v>123.97628599449523</v>
      </c>
      <c r="H13" s="206">
        <f>'2 CARRILES HCM'!H13</f>
        <v>60.476237070485482</v>
      </c>
      <c r="I13" s="206">
        <f>'2 CARRILES HCM'!I13</f>
        <v>172.35727565088362</v>
      </c>
      <c r="J13" s="207">
        <f t="shared" si="0"/>
        <v>6047.6237070485486</v>
      </c>
    </row>
    <row r="14" spans="1:10" x14ac:dyDescent="0.25">
      <c r="A14" s="41">
        <v>2024</v>
      </c>
      <c r="B14" s="41">
        <v>11</v>
      </c>
      <c r="C14" s="206">
        <f>'2 CARRILES HCM'!C14</f>
        <v>4977.0128821897433</v>
      </c>
      <c r="D14" s="206">
        <f>'2 CARRILES HCM'!D14</f>
        <v>336.36883058604025</v>
      </c>
      <c r="E14" s="206">
        <f>'2 CARRILES HCM'!E14</f>
        <v>423.57556444168034</v>
      </c>
      <c r="F14" s="206">
        <f>'2 CARRILES HCM'!F14</f>
        <v>124.58104836520009</v>
      </c>
      <c r="G14" s="206">
        <f>'2 CARRILES HCM'!G14</f>
        <v>127.6955745743301</v>
      </c>
      <c r="H14" s="206">
        <f>'2 CARRILES HCM'!H14</f>
        <v>62.290524182600045</v>
      </c>
      <c r="I14" s="206">
        <f>'2 CARRILES HCM'!I14</f>
        <v>177.52799392041013</v>
      </c>
      <c r="J14" s="207">
        <f t="shared" si="0"/>
        <v>6229.0524182600047</v>
      </c>
    </row>
    <row r="15" spans="1:10" x14ac:dyDescent="0.25">
      <c r="A15" s="41">
        <v>2025</v>
      </c>
      <c r="B15" s="41">
        <v>12</v>
      </c>
      <c r="C15" s="206">
        <f>'2 CARRILES HCM'!C15</f>
        <v>5126.3232686554356</v>
      </c>
      <c r="D15" s="206">
        <f>'2 CARRILES HCM'!D15</f>
        <v>346.4598955036214</v>
      </c>
      <c r="E15" s="206">
        <f>'2 CARRILES HCM'!E15</f>
        <v>436.28283137493065</v>
      </c>
      <c r="F15" s="206">
        <f>'2 CARRILES HCM'!F15</f>
        <v>128.31847981615607</v>
      </c>
      <c r="G15" s="206">
        <f>'2 CARRILES HCM'!G15</f>
        <v>131.52644181155998</v>
      </c>
      <c r="H15" s="206">
        <f>'2 CARRILES HCM'!H15</f>
        <v>64.159239908078035</v>
      </c>
      <c r="I15" s="206">
        <f>'2 CARRILES HCM'!I15</f>
        <v>182.85383373802242</v>
      </c>
      <c r="J15" s="207">
        <f t="shared" si="0"/>
        <v>6415.9239908078052</v>
      </c>
    </row>
    <row r="16" spans="1:10" x14ac:dyDescent="0.25">
      <c r="A16" s="41">
        <v>2026</v>
      </c>
      <c r="B16" s="41">
        <v>13</v>
      </c>
      <c r="C16" s="206">
        <f>'2 CARRILES HCM'!C16</f>
        <v>5280.1129667150981</v>
      </c>
      <c r="D16" s="206">
        <f>'2 CARRILES HCM'!D16</f>
        <v>356.85369236873004</v>
      </c>
      <c r="E16" s="206">
        <f>'2 CARRILES HCM'!E16</f>
        <v>449.37131631617854</v>
      </c>
      <c r="F16" s="206">
        <f>'2 CARRILES HCM'!F16</f>
        <v>132.16803421064074</v>
      </c>
      <c r="G16" s="206">
        <f>'2 CARRILES HCM'!G16</f>
        <v>135.47223506590677</v>
      </c>
      <c r="H16" s="206">
        <f>'2 CARRILES HCM'!H16</f>
        <v>66.08401710532037</v>
      </c>
      <c r="I16" s="206">
        <f>'2 CARRILES HCM'!I16</f>
        <v>188.33944875016309</v>
      </c>
      <c r="J16" s="207">
        <f t="shared" si="0"/>
        <v>6608.4017105320372</v>
      </c>
    </row>
    <row r="17" spans="1:10" x14ac:dyDescent="0.25">
      <c r="A17" s="41">
        <v>2027</v>
      </c>
      <c r="B17" s="41">
        <v>14</v>
      </c>
      <c r="C17" s="206">
        <f>'2 CARRILES HCM'!C17</f>
        <v>5438.5163557165515</v>
      </c>
      <c r="D17" s="206">
        <f>'2 CARRILES HCM'!D17</f>
        <v>367.55930313979195</v>
      </c>
      <c r="E17" s="206">
        <f>'2 CARRILES HCM'!E17</f>
        <v>462.85245580566396</v>
      </c>
      <c r="F17" s="206">
        <f>'2 CARRILES HCM'!F17</f>
        <v>136.13307523696</v>
      </c>
      <c r="G17" s="206">
        <f>'2 CARRILES HCM'!G17</f>
        <v>139.53640211788399</v>
      </c>
      <c r="H17" s="206">
        <f>'2 CARRILES HCM'!H17</f>
        <v>68.066537618479998</v>
      </c>
      <c r="I17" s="206">
        <f>'2 CARRILES HCM'!I17</f>
        <v>193.989632212668</v>
      </c>
      <c r="J17" s="207">
        <f t="shared" si="0"/>
        <v>6806.6537618479997</v>
      </c>
    </row>
    <row r="18" spans="1:10" x14ac:dyDescent="0.25">
      <c r="A18" s="41">
        <v>2028</v>
      </c>
      <c r="B18" s="41">
        <v>15</v>
      </c>
      <c r="C18" s="206">
        <f>'2 CARRILES HCM'!C18</f>
        <v>5601.6718463880488</v>
      </c>
      <c r="D18" s="206">
        <f>'2 CARRILES HCM'!D18</f>
        <v>378.58608223398574</v>
      </c>
      <c r="E18" s="206">
        <f>'2 CARRILES HCM'!E18</f>
        <v>476.73802947983393</v>
      </c>
      <c r="F18" s="206">
        <f>'2 CARRILES HCM'!F18</f>
        <v>140.2170674940688</v>
      </c>
      <c r="G18" s="206">
        <f>'2 CARRILES HCM'!G18</f>
        <v>143.72249418142053</v>
      </c>
      <c r="H18" s="206">
        <f>'2 CARRILES HCM'!H18</f>
        <v>70.1085337470344</v>
      </c>
      <c r="I18" s="206">
        <f>'2 CARRILES HCM'!I18</f>
        <v>199.80932117904803</v>
      </c>
      <c r="J18" s="207">
        <f t="shared" si="0"/>
        <v>7010.8533747034398</v>
      </c>
    </row>
    <row r="19" spans="1:10" x14ac:dyDescent="0.25">
      <c r="A19" s="41">
        <v>2029</v>
      </c>
      <c r="B19" s="41">
        <v>16</v>
      </c>
      <c r="C19" s="206">
        <f>'2 CARRILES HCM'!C19</f>
        <v>5769.722001779689</v>
      </c>
      <c r="D19" s="206">
        <f>'2 CARRILES HCM'!D19</f>
        <v>389.94366470100528</v>
      </c>
      <c r="E19" s="206">
        <f>'2 CARRILES HCM'!E19</f>
        <v>491.04017036422886</v>
      </c>
      <c r="F19" s="206">
        <f>'2 CARRILES HCM'!F19</f>
        <v>144.42357951889085</v>
      </c>
      <c r="G19" s="206">
        <f>'2 CARRILES HCM'!G19</f>
        <v>148.0341690068631</v>
      </c>
      <c r="H19" s="206">
        <f>'2 CARRILES HCM'!H19</f>
        <v>72.211789759445423</v>
      </c>
      <c r="I19" s="206">
        <f>'2 CARRILES HCM'!I19</f>
        <v>205.80360081441944</v>
      </c>
      <c r="J19" s="207">
        <f t="shared" si="0"/>
        <v>7221.1789759445419</v>
      </c>
    </row>
    <row r="20" spans="1:10" x14ac:dyDescent="0.25">
      <c r="A20" s="41">
        <v>2030</v>
      </c>
      <c r="B20" s="41">
        <v>17</v>
      </c>
      <c r="C20" s="206">
        <f>'2 CARRILES HCM'!C20</f>
        <v>5942.81366183308</v>
      </c>
      <c r="D20" s="206">
        <f>'2 CARRILES HCM'!D20</f>
        <v>401.64197464203539</v>
      </c>
      <c r="E20" s="206">
        <f>'2 CARRILES HCM'!E20</f>
        <v>505.77137547515571</v>
      </c>
      <c r="F20" s="206">
        <f>'2 CARRILES HCM'!F20</f>
        <v>148.75628690445757</v>
      </c>
      <c r="G20" s="206">
        <f>'2 CARRILES HCM'!G20</f>
        <v>152.47519407706901</v>
      </c>
      <c r="H20" s="206">
        <f>'2 CARRILES HCM'!H20</f>
        <v>74.378143452228784</v>
      </c>
      <c r="I20" s="206">
        <f>'2 CARRILES HCM'!I20</f>
        <v>211.97770883885204</v>
      </c>
      <c r="J20" s="207">
        <f t="shared" si="0"/>
        <v>7437.8143452228787</v>
      </c>
    </row>
    <row r="21" spans="1:10" x14ac:dyDescent="0.25">
      <c r="A21" s="41">
        <v>2031</v>
      </c>
      <c r="B21" s="41">
        <v>18</v>
      </c>
      <c r="C21" s="206">
        <f>'2 CARRILES HCM'!C21</f>
        <v>6121.0980716880722</v>
      </c>
      <c r="D21" s="206">
        <f>'2 CARRILES HCM'!D21</f>
        <v>413.69123388129651</v>
      </c>
      <c r="E21" s="206">
        <f>'2 CARRILES HCM'!E21</f>
        <v>520.94451673941035</v>
      </c>
      <c r="F21" s="206">
        <f>'2 CARRILES HCM'!F21</f>
        <v>153.21897551159128</v>
      </c>
      <c r="G21" s="206">
        <f>'2 CARRILES HCM'!G21</f>
        <v>157.04944989938107</v>
      </c>
      <c r="H21" s="206">
        <f>'2 CARRILES HCM'!H21</f>
        <v>76.609487755795641</v>
      </c>
      <c r="I21" s="206">
        <f>'2 CARRILES HCM'!I21</f>
        <v>218.3370401040176</v>
      </c>
      <c r="J21" s="207">
        <f t="shared" si="0"/>
        <v>7660.9487755795644</v>
      </c>
    </row>
    <row r="22" spans="1:10" x14ac:dyDescent="0.25">
      <c r="A22" s="41">
        <v>2032</v>
      </c>
      <c r="B22" s="41">
        <v>19</v>
      </c>
      <c r="C22" s="206">
        <f>'2 CARRILES HCM'!C22</f>
        <v>6304.7310138387138</v>
      </c>
      <c r="D22" s="206">
        <f>'2 CARRILES HCM'!D22</f>
        <v>426.10197089773538</v>
      </c>
      <c r="E22" s="206">
        <f>'2 CARRILES HCM'!E22</f>
        <v>536.57285224159273</v>
      </c>
      <c r="F22" s="206">
        <f>'2 CARRILES HCM'!F22</f>
        <v>157.81554477693902</v>
      </c>
      <c r="G22" s="206">
        <f>'2 CARRILES HCM'!G22</f>
        <v>161.7609333963625</v>
      </c>
      <c r="H22" s="206">
        <f>'2 CARRILES HCM'!H22</f>
        <v>78.90777238846951</v>
      </c>
      <c r="I22" s="206">
        <f>'2 CARRILES HCM'!I22</f>
        <v>224.88715130713811</v>
      </c>
      <c r="J22" s="207">
        <f t="shared" si="0"/>
        <v>7890.7772388469511</v>
      </c>
    </row>
    <row r="23" spans="1:10" x14ac:dyDescent="0.25">
      <c r="A23" s="41">
        <v>2033</v>
      </c>
      <c r="B23" s="41">
        <v>20</v>
      </c>
      <c r="C23" s="206">
        <f>'2 CARRILES HCM'!C23</f>
        <v>6493.8729442538752</v>
      </c>
      <c r="D23" s="206">
        <f>'2 CARRILES HCM'!D23</f>
        <v>438.8850300246674</v>
      </c>
      <c r="E23" s="206">
        <f>'2 CARRILES HCM'!E23</f>
        <v>552.67003780884045</v>
      </c>
      <c r="F23" s="206">
        <f>'2 CARRILES HCM'!F23</f>
        <v>162.55001112024721</v>
      </c>
      <c r="G23" s="206">
        <f>'2 CARRILES HCM'!G23</f>
        <v>166.61376139825336</v>
      </c>
      <c r="H23" s="206">
        <f>'2 CARRILES HCM'!H23</f>
        <v>81.275005560123603</v>
      </c>
      <c r="I23" s="206">
        <f>'2 CARRILES HCM'!I23</f>
        <v>231.63376584635225</v>
      </c>
      <c r="J23" s="207">
        <f t="shared" si="0"/>
        <v>8127.5005560123609</v>
      </c>
    </row>
    <row r="24" spans="1:10" x14ac:dyDescent="0.25">
      <c r="A24" s="41">
        <v>2034</v>
      </c>
      <c r="B24" s="41">
        <v>21</v>
      </c>
      <c r="C24" s="206">
        <f>'2 CARRILES HCM'!C24</f>
        <v>6688.6891325814904</v>
      </c>
      <c r="D24" s="206">
        <f>'2 CARRILES HCM'!D24</f>
        <v>452.05158092540739</v>
      </c>
      <c r="E24" s="206">
        <f>'2 CARRILES HCM'!E24</f>
        <v>569.25013894310564</v>
      </c>
      <c r="F24" s="206">
        <f>'2 CARRILES HCM'!F24</f>
        <v>167.42651145385457</v>
      </c>
      <c r="G24" s="206">
        <f>'2 CARRILES HCM'!G24</f>
        <v>171.61217424020094</v>
      </c>
      <c r="H24" s="206">
        <f>'2 CARRILES HCM'!H24</f>
        <v>83.713255726927287</v>
      </c>
      <c r="I24" s="206">
        <f>'2 CARRILES HCM'!I24</f>
        <v>238.58277882174278</v>
      </c>
      <c r="J24" s="207">
        <f t="shared" si="0"/>
        <v>8371.3255726927291</v>
      </c>
    </row>
    <row r="25" spans="1:10" x14ac:dyDescent="0.25">
      <c r="A25" s="41">
        <v>2035</v>
      </c>
      <c r="B25" s="41">
        <v>22</v>
      </c>
      <c r="C25" s="206">
        <f>'2 CARRILES HCM'!C25</f>
        <v>6889.3498065589365</v>
      </c>
      <c r="D25" s="206">
        <f>'2 CARRILES HCM'!D25</f>
        <v>465.61312835316966</v>
      </c>
      <c r="E25" s="206">
        <f>'2 CARRILES HCM'!E25</f>
        <v>586.32764311139886</v>
      </c>
      <c r="F25" s="206">
        <f>'2 CARRILES HCM'!F25</f>
        <v>172.44930679747023</v>
      </c>
      <c r="G25" s="206">
        <f>'2 CARRILES HCM'!G25</f>
        <v>176.760539467407</v>
      </c>
      <c r="H25" s="206">
        <f>'2 CARRILES HCM'!H25</f>
        <v>86.224653398735114</v>
      </c>
      <c r="I25" s="206">
        <f>'2 CARRILES HCM'!I25</f>
        <v>245.74026218639509</v>
      </c>
      <c r="J25" s="207">
        <f t="shared" si="0"/>
        <v>8622.4653398735118</v>
      </c>
    </row>
    <row r="26" spans="1:10" x14ac:dyDescent="0.25">
      <c r="A26" s="41">
        <v>2036</v>
      </c>
      <c r="B26" s="41">
        <v>23</v>
      </c>
      <c r="C26" s="206">
        <f>'2 CARRILES HCM'!C26</f>
        <v>7096.030300755705</v>
      </c>
      <c r="D26" s="206">
        <f>'2 CARRILES HCM'!D26</f>
        <v>479.58152220376479</v>
      </c>
      <c r="E26" s="206">
        <f>'2 CARRILES HCM'!E26</f>
        <v>603.91747240474081</v>
      </c>
      <c r="F26" s="206">
        <f>'2 CARRILES HCM'!F26</f>
        <v>177.62278600139436</v>
      </c>
      <c r="G26" s="206">
        <f>'2 CARRILES HCM'!G26</f>
        <v>182.06335565142922</v>
      </c>
      <c r="H26" s="206">
        <f>'2 CARRILES HCM'!H26</f>
        <v>88.81139300069718</v>
      </c>
      <c r="I26" s="206">
        <f>'2 CARRILES HCM'!I26</f>
        <v>253.11247005198697</v>
      </c>
      <c r="J26" s="207">
        <f t="shared" si="0"/>
        <v>8881.1393000697171</v>
      </c>
    </row>
    <row r="27" spans="1:10" x14ac:dyDescent="0.25">
      <c r="A27" s="41">
        <v>2037</v>
      </c>
      <c r="B27" s="41">
        <v>24</v>
      </c>
      <c r="C27" s="206">
        <f>'2 CARRILES HCM'!C27</f>
        <v>7308.9112097783745</v>
      </c>
      <c r="D27" s="206">
        <f>'2 CARRILES HCM'!D27</f>
        <v>493.96896786987764</v>
      </c>
      <c r="E27" s="206">
        <f>'2 CARRILES HCM'!E27</f>
        <v>622.03499657688292</v>
      </c>
      <c r="F27" s="206">
        <f>'2 CARRILES HCM'!F27</f>
        <v>182.95146958143616</v>
      </c>
      <c r="G27" s="206">
        <f>'2 CARRILES HCM'!G27</f>
        <v>187.52525632097206</v>
      </c>
      <c r="H27" s="206">
        <f>'2 CARRILES HCM'!H27</f>
        <v>91.475734790718079</v>
      </c>
      <c r="I27" s="206">
        <f>'2 CARRILES HCM'!I27</f>
        <v>260.70584415354654</v>
      </c>
      <c r="J27" s="207">
        <f t="shared" si="0"/>
        <v>9147.5734790718088</v>
      </c>
    </row>
    <row r="28" spans="1:10" x14ac:dyDescent="0.25">
      <c r="A28" s="41">
        <v>2038</v>
      </c>
      <c r="B28" s="41">
        <v>25</v>
      </c>
      <c r="C28" s="206">
        <f>'2 CARRILES HCM'!C28</f>
        <v>7528.1785460717256</v>
      </c>
      <c r="D28" s="206">
        <f>'2 CARRILES HCM'!D28</f>
        <v>508.78803690597397</v>
      </c>
      <c r="E28" s="206">
        <f>'2 CARRILES HCM'!E28</f>
        <v>640.69604647418942</v>
      </c>
      <c r="F28" s="206">
        <f>'2 CARRILES HCM'!F28</f>
        <v>188.44001366887923</v>
      </c>
      <c r="G28" s="206">
        <f>'2 CARRILES HCM'!G28</f>
        <v>193.15101401060122</v>
      </c>
      <c r="H28" s="206">
        <f>'2 CARRILES HCM'!H28</f>
        <v>94.220006834439616</v>
      </c>
      <c r="I28" s="206">
        <f>'2 CARRILES HCM'!I28</f>
        <v>268.52701947815291</v>
      </c>
      <c r="J28" s="207">
        <f t="shared" si="0"/>
        <v>9422.0006834439628</v>
      </c>
    </row>
    <row r="29" spans="1:10" x14ac:dyDescent="0.25">
      <c r="A29" s="41">
        <v>2039</v>
      </c>
      <c r="B29" s="41">
        <v>26</v>
      </c>
      <c r="C29" s="206">
        <f>'2 CARRILES HCM'!C29</f>
        <v>7754.0239024538787</v>
      </c>
      <c r="D29" s="206">
        <f>'2 CARRILES HCM'!D29</f>
        <v>524.05167801315326</v>
      </c>
      <c r="E29" s="206">
        <f>'2 CARRILES HCM'!E29</f>
        <v>659.9169278684152</v>
      </c>
      <c r="F29" s="206">
        <f>'2 CARRILES HCM'!F29</f>
        <v>194.09321407894566</v>
      </c>
      <c r="G29" s="206">
        <f>'2 CARRILES HCM'!G29</f>
        <v>198.94554443091928</v>
      </c>
      <c r="H29" s="206">
        <f>'2 CARRILES HCM'!H29</f>
        <v>97.046607039472832</v>
      </c>
      <c r="I29" s="206">
        <f>'2 CARRILES HCM'!I29</f>
        <v>276.58283006249758</v>
      </c>
      <c r="J29" s="207">
        <f t="shared" si="0"/>
        <v>9704.6607039472819</v>
      </c>
    </row>
    <row r="30" spans="1:10" x14ac:dyDescent="0.25">
      <c r="A30" s="41">
        <v>2040</v>
      </c>
      <c r="B30" s="41">
        <v>27</v>
      </c>
      <c r="C30" s="206">
        <f>'2 CARRILES HCM'!C30</f>
        <v>7986.6446195274939</v>
      </c>
      <c r="D30" s="206">
        <f>'2 CARRILES HCM'!D30</f>
        <v>539.77322835354778</v>
      </c>
      <c r="E30" s="206">
        <f>'2 CARRILES HCM'!E30</f>
        <v>679.71443570446763</v>
      </c>
      <c r="F30" s="206">
        <f>'2 CARRILES HCM'!F30</f>
        <v>199.91601050131399</v>
      </c>
      <c r="G30" s="206">
        <f>'2 CARRILES HCM'!G30</f>
        <v>204.91391076384684</v>
      </c>
      <c r="H30" s="206">
        <f>'2 CARRILES HCM'!H30</f>
        <v>99.958005250656996</v>
      </c>
      <c r="I30" s="206">
        <f>'2 CARRILES HCM'!I30</f>
        <v>284.88031496437242</v>
      </c>
      <c r="J30" s="207">
        <f t="shared" si="0"/>
        <v>9995.8005250656988</v>
      </c>
    </row>
    <row r="31" spans="1:10" x14ac:dyDescent="0.25">
      <c r="A31" s="41">
        <v>2041</v>
      </c>
      <c r="B31" s="41">
        <v>28</v>
      </c>
      <c r="C31" s="206">
        <f>'2 CARRILES HCM'!C31</f>
        <v>8226.2439581133185</v>
      </c>
      <c r="D31" s="206">
        <f>'2 CARRILES HCM'!D31</f>
        <v>555.96642520415423</v>
      </c>
      <c r="E31" s="206">
        <f>'2 CARRILES HCM'!E31</f>
        <v>700.10586877560161</v>
      </c>
      <c r="F31" s="206">
        <f>'2 CARRILES HCM'!F31</f>
        <v>205.91349081635343</v>
      </c>
      <c r="G31" s="206">
        <f>'2 CARRILES HCM'!G31</f>
        <v>211.06132808676224</v>
      </c>
      <c r="H31" s="206">
        <f>'2 CARRILES HCM'!H31</f>
        <v>102.95674540817672</v>
      </c>
      <c r="I31" s="206">
        <f>'2 CARRILES HCM'!I31</f>
        <v>293.42672441330365</v>
      </c>
      <c r="J31" s="207">
        <f t="shared" si="0"/>
        <v>10295.674540817672</v>
      </c>
    </row>
    <row r="32" spans="1:10" x14ac:dyDescent="0.25">
      <c r="A32" s="41">
        <v>2042</v>
      </c>
      <c r="B32" s="41">
        <v>29</v>
      </c>
      <c r="C32" s="206">
        <f>'2 CARRILES HCM'!C32</f>
        <v>8473.0312768567183</v>
      </c>
      <c r="D32" s="206">
        <f>'2 CARRILES HCM'!D32</f>
        <v>572.64541796027879</v>
      </c>
      <c r="E32" s="206">
        <f>'2 CARRILES HCM'!E32</f>
        <v>721.10904483886964</v>
      </c>
      <c r="F32" s="206">
        <f>'2 CARRILES HCM'!F32</f>
        <v>212.090895540844</v>
      </c>
      <c r="G32" s="206">
        <f>'2 CARRILES HCM'!G32</f>
        <v>217.39316792936509</v>
      </c>
      <c r="H32" s="206">
        <f>'2 CARRILES HCM'!H32</f>
        <v>106.045447770422</v>
      </c>
      <c r="I32" s="206">
        <f>'2 CARRILES HCM'!I32</f>
        <v>302.22952614570272</v>
      </c>
      <c r="J32" s="207">
        <f t="shared" si="0"/>
        <v>10604.5447770422</v>
      </c>
    </row>
    <row r="33" spans="1:10" x14ac:dyDescent="0.25">
      <c r="A33" s="41">
        <v>2043</v>
      </c>
      <c r="B33" s="41">
        <v>30</v>
      </c>
      <c r="C33" s="206">
        <f>'2 CARRILES HCM'!C33</f>
        <v>8727.2222151624192</v>
      </c>
      <c r="D33" s="206">
        <f>'2 CARRILES HCM'!D33</f>
        <v>589.82478049908718</v>
      </c>
      <c r="E33" s="206">
        <f>'2 CARRILES HCM'!E33</f>
        <v>742.74231618403564</v>
      </c>
      <c r="F33" s="206">
        <f>'2 CARRILES HCM'!F33</f>
        <v>218.45362240706933</v>
      </c>
      <c r="G33" s="206">
        <f>'2 CARRILES HCM'!G33</f>
        <v>223.91496296724605</v>
      </c>
      <c r="H33" s="206">
        <f>'2 CARRILES HCM'!H33</f>
        <v>109.22681120353467</v>
      </c>
      <c r="I33" s="206">
        <f>'2 CARRILES HCM'!I33</f>
        <v>311.29641193007376</v>
      </c>
      <c r="J33" s="207">
        <f t="shared" si="0"/>
        <v>10922.681120353467</v>
      </c>
    </row>
    <row r="34" spans="1:10" x14ac:dyDescent="0.25">
      <c r="A34" s="41">
        <v>2043</v>
      </c>
      <c r="B34" s="41">
        <v>30</v>
      </c>
      <c r="C34" s="206">
        <f>'2 CARRILES HCM'!C34</f>
        <v>8989.0388816172926</v>
      </c>
      <c r="D34" s="206">
        <f>'2 CARRILES HCM'!D34</f>
        <v>607.51952391405985</v>
      </c>
      <c r="E34" s="206">
        <f>'2 CARRILES HCM'!E34</f>
        <v>765.02458566955693</v>
      </c>
      <c r="F34" s="206">
        <f>'2 CARRILES HCM'!F34</f>
        <v>225.00723107928144</v>
      </c>
      <c r="G34" s="206">
        <f>'2 CARRILES HCM'!G34</f>
        <v>230.63241185626347</v>
      </c>
      <c r="H34" s="206">
        <f>'2 CARRILES HCM'!H34</f>
        <v>112.50361553964072</v>
      </c>
      <c r="I34" s="206">
        <f>'2 CARRILES HCM'!I34</f>
        <v>320.63530428797606</v>
      </c>
      <c r="J34" s="207">
        <f>SUM(C34:I34)</f>
        <v>11250.361553964072</v>
      </c>
    </row>
    <row r="35" spans="1:10" ht="15.75" thickBot="1" x14ac:dyDescent="0.3">
      <c r="A35" s="41">
        <v>2043</v>
      </c>
      <c r="B35" s="41">
        <v>30</v>
      </c>
      <c r="C35" s="206">
        <f>'2 CARRILES HCM'!C35</f>
        <v>9258.71004806581</v>
      </c>
      <c r="D35" s="206">
        <f>'2 CARRILES HCM'!D35</f>
        <v>625.74510963148157</v>
      </c>
      <c r="E35" s="206">
        <f>'2 CARRILES HCM'!E35</f>
        <v>787.97532323964344</v>
      </c>
      <c r="F35" s="206">
        <f>'2 CARRILES HCM'!F35</f>
        <v>231.75744801165985</v>
      </c>
      <c r="G35" s="206">
        <f>'2 CARRILES HCM'!G35</f>
        <v>237.55138421195133</v>
      </c>
      <c r="H35" s="206">
        <f>'2 CARRILES HCM'!H35</f>
        <v>115.87872400582992</v>
      </c>
      <c r="I35" s="206">
        <f>'2 CARRILES HCM'!I35</f>
        <v>330.25436341661526</v>
      </c>
      <c r="J35" s="207">
        <f>SUM(C35:I35)</f>
        <v>11587.872400582992</v>
      </c>
    </row>
    <row r="36" spans="1:10" ht="15.75" thickBot="1" x14ac:dyDescent="0.3">
      <c r="A36" s="70"/>
      <c r="B36" s="71" t="s">
        <v>54</v>
      </c>
      <c r="C36" s="297">
        <f>'2 CARRILES HCM'!C36</f>
        <v>0.03</v>
      </c>
      <c r="D36" s="297">
        <f>'2 CARRILES HCM'!D36</f>
        <v>0.03</v>
      </c>
      <c r="E36" s="297">
        <f>'2 CARRILES HCM'!E36</f>
        <v>0.03</v>
      </c>
      <c r="F36" s="297">
        <f>'2 CARRILES HCM'!F36</f>
        <v>0.03</v>
      </c>
      <c r="G36" s="297">
        <f>'2 CARRILES HCM'!G36</f>
        <v>0.03</v>
      </c>
      <c r="H36" s="297">
        <f>'2 CARRILES HCM'!H36</f>
        <v>0.03</v>
      </c>
      <c r="I36" s="297">
        <f>'2 CARRILES HCM'!I36</f>
        <v>0.03</v>
      </c>
      <c r="J36" s="208">
        <f>SUM(C36:I36)/7</f>
        <v>0.03</v>
      </c>
    </row>
    <row r="37" spans="1:10" x14ac:dyDescent="0.25">
      <c r="A37" s="70"/>
      <c r="B37" s="115"/>
      <c r="C37" s="209"/>
      <c r="D37" s="209"/>
      <c r="E37" s="209"/>
      <c r="F37" s="209"/>
      <c r="G37" s="209"/>
      <c r="H37" s="209"/>
      <c r="I37" s="209"/>
      <c r="J37" s="210"/>
    </row>
    <row r="38" spans="1:10" x14ac:dyDescent="0.25">
      <c r="A38" s="74" t="s">
        <v>55</v>
      </c>
      <c r="B38" s="74"/>
      <c r="C38" s="74"/>
    </row>
    <row r="39" spans="1:10" x14ac:dyDescent="0.25">
      <c r="A39" s="68" t="s">
        <v>18</v>
      </c>
      <c r="B39" s="68" t="s">
        <v>45</v>
      </c>
      <c r="C39" s="41" t="s">
        <v>46</v>
      </c>
      <c r="D39" s="41" t="s">
        <v>47</v>
      </c>
      <c r="E39" s="41" t="s">
        <v>48</v>
      </c>
      <c r="F39" s="41" t="s">
        <v>49</v>
      </c>
      <c r="G39" s="41" t="s">
        <v>50</v>
      </c>
      <c r="H39" s="41" t="s">
        <v>51</v>
      </c>
      <c r="I39" s="41" t="s">
        <v>52</v>
      </c>
      <c r="J39" s="41" t="s">
        <v>53</v>
      </c>
    </row>
    <row r="40" spans="1:10" x14ac:dyDescent="0.25">
      <c r="A40" s="41">
        <v>2013</v>
      </c>
      <c r="B40" s="41">
        <v>0</v>
      </c>
      <c r="C40" s="206">
        <f>'2 CARRILES HCM'!C40</f>
        <v>3595.5</v>
      </c>
      <c r="D40" s="206">
        <f>'2 CARRILES HCM'!D40</f>
        <v>243</v>
      </c>
      <c r="E40" s="206">
        <f>'2 CARRILES HCM'!E40</f>
        <v>306</v>
      </c>
      <c r="F40" s="206">
        <f>'2 CARRILES HCM'!F40</f>
        <v>90</v>
      </c>
      <c r="G40" s="206">
        <f>'2 CARRILES HCM'!G40</f>
        <v>92.25</v>
      </c>
      <c r="H40" s="206">
        <f>'2 CARRILES HCM'!H40</f>
        <v>45</v>
      </c>
      <c r="I40" s="206">
        <f>'2 CARRILES HCM'!I40</f>
        <v>128.25</v>
      </c>
      <c r="J40" s="207">
        <f t="shared" ref="J40:J70" si="1">SUM(C40:I40)</f>
        <v>4500</v>
      </c>
    </row>
    <row r="41" spans="1:10" x14ac:dyDescent="0.25">
      <c r="A41" s="41">
        <v>2014</v>
      </c>
      <c r="B41" s="41">
        <v>1</v>
      </c>
      <c r="C41" s="206">
        <f>'2 CARRILES HCM'!C41</f>
        <v>3703.3650000000002</v>
      </c>
      <c r="D41" s="206">
        <f>'2 CARRILES HCM'!D41</f>
        <v>250.29000000000002</v>
      </c>
      <c r="E41" s="206">
        <f>'2 CARRILES HCM'!E41</f>
        <v>315.18</v>
      </c>
      <c r="F41" s="206">
        <f>'2 CARRILES HCM'!F41</f>
        <v>92.7</v>
      </c>
      <c r="G41" s="206">
        <f>'2 CARRILES HCM'!G41</f>
        <v>95.017499999999998</v>
      </c>
      <c r="H41" s="206">
        <f>'2 CARRILES HCM'!H41</f>
        <v>46.35</v>
      </c>
      <c r="I41" s="206">
        <f>'2 CARRILES HCM'!I41</f>
        <v>132.0975</v>
      </c>
      <c r="J41" s="207">
        <f t="shared" si="1"/>
        <v>4635</v>
      </c>
    </row>
    <row r="42" spans="1:10" x14ac:dyDescent="0.25">
      <c r="A42" s="41">
        <v>2015</v>
      </c>
      <c r="B42" s="41">
        <v>2</v>
      </c>
      <c r="C42" s="206">
        <f>'2 CARRILES HCM'!C42</f>
        <v>3814.4659499999998</v>
      </c>
      <c r="D42" s="206">
        <f>'2 CARRILES HCM'!D42</f>
        <v>257.7987</v>
      </c>
      <c r="E42" s="206">
        <f>'2 CARRILES HCM'!E42</f>
        <v>324.6354</v>
      </c>
      <c r="F42" s="206">
        <f>'2 CARRILES HCM'!F42</f>
        <v>95.480999999999995</v>
      </c>
      <c r="G42" s="206">
        <f>'2 CARRILES HCM'!G42</f>
        <v>97.868024999999989</v>
      </c>
      <c r="H42" s="206">
        <f>'2 CARRILES HCM'!H42</f>
        <v>47.740499999999997</v>
      </c>
      <c r="I42" s="206">
        <f>'2 CARRILES HCM'!I42</f>
        <v>136.06042499999998</v>
      </c>
      <c r="J42" s="207">
        <f t="shared" si="1"/>
        <v>4774.0499999999984</v>
      </c>
    </row>
    <row r="43" spans="1:10" x14ac:dyDescent="0.25">
      <c r="A43" s="41">
        <v>2016</v>
      </c>
      <c r="B43" s="41">
        <v>3</v>
      </c>
      <c r="C43" s="206">
        <f>'2 CARRILES HCM'!C43</f>
        <v>3928.8999285</v>
      </c>
      <c r="D43" s="206">
        <f>'2 CARRILES HCM'!D43</f>
        <v>265.53266100000002</v>
      </c>
      <c r="E43" s="206">
        <f>'2 CARRILES HCM'!E43</f>
        <v>334.37446199999999</v>
      </c>
      <c r="F43" s="206">
        <f>'2 CARRILES HCM'!F43</f>
        <v>98.345429999999993</v>
      </c>
      <c r="G43" s="206">
        <f>'2 CARRILES HCM'!G43</f>
        <v>100.80406575000001</v>
      </c>
      <c r="H43" s="206">
        <f>'2 CARRILES HCM'!H43</f>
        <v>49.172714999999997</v>
      </c>
      <c r="I43" s="206">
        <f>'2 CARRILES HCM'!I43</f>
        <v>140.14223774999999</v>
      </c>
      <c r="J43" s="207">
        <f t="shared" si="1"/>
        <v>4917.2714999999998</v>
      </c>
    </row>
    <row r="44" spans="1:10" x14ac:dyDescent="0.25">
      <c r="A44" s="41">
        <v>2017</v>
      </c>
      <c r="B44" s="41">
        <v>4</v>
      </c>
      <c r="C44" s="206">
        <f>'2 CARRILES HCM'!C44</f>
        <v>4046.7669263549997</v>
      </c>
      <c r="D44" s="206">
        <f>'2 CARRILES HCM'!D44</f>
        <v>273.49864083</v>
      </c>
      <c r="E44" s="206">
        <f>'2 CARRILES HCM'!E44</f>
        <v>344.40569585999998</v>
      </c>
      <c r="F44" s="206">
        <f>'2 CARRILES HCM'!F44</f>
        <v>101.2957929</v>
      </c>
      <c r="G44" s="206">
        <f>'2 CARRILES HCM'!G44</f>
        <v>103.82818772249999</v>
      </c>
      <c r="H44" s="206">
        <f>'2 CARRILES HCM'!H44</f>
        <v>50.647896449999998</v>
      </c>
      <c r="I44" s="206">
        <f>'2 CARRILES HCM'!I44</f>
        <v>144.3465048825</v>
      </c>
      <c r="J44" s="207">
        <f t="shared" si="1"/>
        <v>5064.7896450000007</v>
      </c>
    </row>
    <row r="45" spans="1:10" x14ac:dyDescent="0.25">
      <c r="A45" s="41">
        <v>2018</v>
      </c>
      <c r="B45" s="41">
        <v>5</v>
      </c>
      <c r="C45" s="206">
        <f>'2 CARRILES HCM'!C45</f>
        <v>4168.1699341456497</v>
      </c>
      <c r="D45" s="206">
        <f>'2 CARRILES HCM'!D45</f>
        <v>281.70360005489994</v>
      </c>
      <c r="E45" s="206">
        <f>'2 CARRILES HCM'!E45</f>
        <v>354.73786673579997</v>
      </c>
      <c r="F45" s="206">
        <f>'2 CARRILES HCM'!F45</f>
        <v>104.33466668699998</v>
      </c>
      <c r="G45" s="206">
        <f>'2 CARRILES HCM'!G45</f>
        <v>106.94303335417499</v>
      </c>
      <c r="H45" s="206">
        <f>'2 CARRILES HCM'!H45</f>
        <v>52.16733334349999</v>
      </c>
      <c r="I45" s="206">
        <f>'2 CARRILES HCM'!I45</f>
        <v>148.67690002897498</v>
      </c>
      <c r="J45" s="207">
        <f t="shared" si="1"/>
        <v>5216.7333343499995</v>
      </c>
    </row>
    <row r="46" spans="1:10" x14ac:dyDescent="0.25">
      <c r="A46" s="41">
        <v>2019</v>
      </c>
      <c r="B46" s="41">
        <v>6</v>
      </c>
      <c r="C46" s="206">
        <f>'2 CARRILES HCM'!C46</f>
        <v>4293.2150321700192</v>
      </c>
      <c r="D46" s="206">
        <f>'2 CARRILES HCM'!D46</f>
        <v>290.15470805654695</v>
      </c>
      <c r="E46" s="206">
        <f>'2 CARRILES HCM'!E46</f>
        <v>365.38000273787395</v>
      </c>
      <c r="F46" s="206">
        <f>'2 CARRILES HCM'!F46</f>
        <v>107.46470668760999</v>
      </c>
      <c r="G46" s="206">
        <f>'2 CARRILES HCM'!G46</f>
        <v>110.15132435480024</v>
      </c>
      <c r="H46" s="206">
        <f>'2 CARRILES HCM'!H46</f>
        <v>53.732353343804995</v>
      </c>
      <c r="I46" s="206">
        <f>'2 CARRILES HCM'!I46</f>
        <v>153.13720702984423</v>
      </c>
      <c r="J46" s="207">
        <f t="shared" si="1"/>
        <v>5373.2353343804989</v>
      </c>
    </row>
    <row r="47" spans="1:10" x14ac:dyDescent="0.25">
      <c r="A47" s="41">
        <v>2020</v>
      </c>
      <c r="B47" s="41">
        <v>7</v>
      </c>
      <c r="C47" s="206">
        <f>'2 CARRILES HCM'!C47</f>
        <v>4422.0114831351202</v>
      </c>
      <c r="D47" s="206">
        <f>'2 CARRILES HCM'!D47</f>
        <v>298.85934929824339</v>
      </c>
      <c r="E47" s="206">
        <f>'2 CARRILES HCM'!E47</f>
        <v>376.34140282001022</v>
      </c>
      <c r="F47" s="206">
        <f>'2 CARRILES HCM'!F47</f>
        <v>110.68864788823829</v>
      </c>
      <c r="G47" s="206">
        <f>'2 CARRILES HCM'!G47</f>
        <v>113.45586408544426</v>
      </c>
      <c r="H47" s="206">
        <f>'2 CARRILES HCM'!H47</f>
        <v>55.344323944119147</v>
      </c>
      <c r="I47" s="206">
        <f>'2 CARRILES HCM'!I47</f>
        <v>157.73132324073958</v>
      </c>
      <c r="J47" s="207">
        <f t="shared" si="1"/>
        <v>5534.4323944119151</v>
      </c>
    </row>
    <row r="48" spans="1:10" x14ac:dyDescent="0.25">
      <c r="A48" s="41">
        <v>2021</v>
      </c>
      <c r="B48" s="41">
        <v>8</v>
      </c>
      <c r="C48" s="206">
        <f>'2 CARRILES HCM'!C48</f>
        <v>4554.6718276291731</v>
      </c>
      <c r="D48" s="206">
        <f>'2 CARRILES HCM'!D48</f>
        <v>307.82512977719068</v>
      </c>
      <c r="E48" s="206">
        <f>'2 CARRILES HCM'!E48</f>
        <v>387.63164490461048</v>
      </c>
      <c r="F48" s="206">
        <f>'2 CARRILES HCM'!F48</f>
        <v>114.00930732488544</v>
      </c>
      <c r="G48" s="206">
        <f>'2 CARRILES HCM'!G48</f>
        <v>116.85954000800757</v>
      </c>
      <c r="H48" s="206">
        <f>'2 CARRILES HCM'!H48</f>
        <v>57.00465366244272</v>
      </c>
      <c r="I48" s="206">
        <f>'2 CARRILES HCM'!I48</f>
        <v>162.46326293796173</v>
      </c>
      <c r="J48" s="207">
        <f t="shared" si="1"/>
        <v>5700.4653662442724</v>
      </c>
    </row>
    <row r="49" spans="1:10" x14ac:dyDescent="0.25">
      <c r="A49" s="41">
        <v>2022</v>
      </c>
      <c r="B49" s="41">
        <v>9</v>
      </c>
      <c r="C49" s="206">
        <f>'2 CARRILES HCM'!C49</f>
        <v>4691.3119824580481</v>
      </c>
      <c r="D49" s="206">
        <f>'2 CARRILES HCM'!D49</f>
        <v>317.05988367050639</v>
      </c>
      <c r="E49" s="206">
        <f>'2 CARRILES HCM'!E49</f>
        <v>399.26059425174878</v>
      </c>
      <c r="F49" s="206">
        <f>'2 CARRILES HCM'!F49</f>
        <v>117.429586544632</v>
      </c>
      <c r="G49" s="206">
        <f>'2 CARRILES HCM'!G49</f>
        <v>120.36532620824781</v>
      </c>
      <c r="H49" s="206">
        <f>'2 CARRILES HCM'!H49</f>
        <v>58.714793272316001</v>
      </c>
      <c r="I49" s="206">
        <f>'2 CARRILES HCM'!I49</f>
        <v>167.33716082610061</v>
      </c>
      <c r="J49" s="207">
        <f t="shared" si="1"/>
        <v>5871.4793272316001</v>
      </c>
    </row>
    <row r="50" spans="1:10" x14ac:dyDescent="0.25">
      <c r="A50" s="41">
        <v>2023</v>
      </c>
      <c r="B50" s="41">
        <v>10</v>
      </c>
      <c r="C50" s="206">
        <f>'2 CARRILES HCM'!C50</f>
        <v>4832.0513419317895</v>
      </c>
      <c r="D50" s="206">
        <f>'2 CARRILES HCM'!D50</f>
        <v>326.57168018062157</v>
      </c>
      <c r="E50" s="206">
        <f>'2 CARRILES HCM'!E50</f>
        <v>411.23841207930127</v>
      </c>
      <c r="F50" s="206">
        <f>'2 CARRILES HCM'!F50</f>
        <v>120.95247414097096</v>
      </c>
      <c r="G50" s="206">
        <f>'2 CARRILES HCM'!G50</f>
        <v>123.97628599449523</v>
      </c>
      <c r="H50" s="206">
        <f>'2 CARRILES HCM'!H50</f>
        <v>60.476237070485482</v>
      </c>
      <c r="I50" s="206">
        <f>'2 CARRILES HCM'!I50</f>
        <v>172.35727565088362</v>
      </c>
      <c r="J50" s="207">
        <f t="shared" si="1"/>
        <v>6047.6237070485486</v>
      </c>
    </row>
    <row r="51" spans="1:10" x14ac:dyDescent="0.25">
      <c r="A51" s="41">
        <v>2024</v>
      </c>
      <c r="B51" s="41">
        <v>11</v>
      </c>
      <c r="C51" s="206">
        <f>'2 CARRILES HCM'!C51</f>
        <v>4977.0128821897433</v>
      </c>
      <c r="D51" s="206">
        <f>'2 CARRILES HCM'!D51</f>
        <v>336.36883058604025</v>
      </c>
      <c r="E51" s="206">
        <f>'2 CARRILES HCM'!E51</f>
        <v>423.57556444168034</v>
      </c>
      <c r="F51" s="206">
        <f>'2 CARRILES HCM'!F51</f>
        <v>124.58104836520009</v>
      </c>
      <c r="G51" s="206">
        <f>'2 CARRILES HCM'!G51</f>
        <v>127.6955745743301</v>
      </c>
      <c r="H51" s="206">
        <f>'2 CARRILES HCM'!H51</f>
        <v>62.290524182600045</v>
      </c>
      <c r="I51" s="206">
        <f>'2 CARRILES HCM'!I51</f>
        <v>177.52799392041013</v>
      </c>
      <c r="J51" s="207">
        <f t="shared" si="1"/>
        <v>6229.0524182600047</v>
      </c>
    </row>
    <row r="52" spans="1:10" x14ac:dyDescent="0.25">
      <c r="A52" s="41">
        <v>2025</v>
      </c>
      <c r="B52" s="41">
        <v>12</v>
      </c>
      <c r="C52" s="206">
        <f>'2 CARRILES HCM'!C52</f>
        <v>5126.3232686554356</v>
      </c>
      <c r="D52" s="206">
        <f>'2 CARRILES HCM'!D52</f>
        <v>346.4598955036214</v>
      </c>
      <c r="E52" s="206">
        <f>'2 CARRILES HCM'!E52</f>
        <v>436.28283137493065</v>
      </c>
      <c r="F52" s="206">
        <f>'2 CARRILES HCM'!F52</f>
        <v>128.31847981615607</v>
      </c>
      <c r="G52" s="206">
        <f>'2 CARRILES HCM'!G52</f>
        <v>131.52644181155998</v>
      </c>
      <c r="H52" s="206">
        <f>'2 CARRILES HCM'!H52</f>
        <v>64.159239908078035</v>
      </c>
      <c r="I52" s="206">
        <f>'2 CARRILES HCM'!I52</f>
        <v>182.85383373802242</v>
      </c>
      <c r="J52" s="207">
        <f t="shared" si="1"/>
        <v>6415.9239908078052</v>
      </c>
    </row>
    <row r="53" spans="1:10" x14ac:dyDescent="0.25">
      <c r="A53" s="41">
        <v>2026</v>
      </c>
      <c r="B53" s="41">
        <v>13</v>
      </c>
      <c r="C53" s="206">
        <f>'2 CARRILES HCM'!C53</f>
        <v>5280.1129667150981</v>
      </c>
      <c r="D53" s="206">
        <f>'2 CARRILES HCM'!D53</f>
        <v>356.85369236873004</v>
      </c>
      <c r="E53" s="206">
        <f>'2 CARRILES HCM'!E53</f>
        <v>449.37131631617854</v>
      </c>
      <c r="F53" s="206">
        <f>'2 CARRILES HCM'!F53</f>
        <v>132.16803421064074</v>
      </c>
      <c r="G53" s="206">
        <f>'2 CARRILES HCM'!G53</f>
        <v>135.47223506590677</v>
      </c>
      <c r="H53" s="206">
        <f>'2 CARRILES HCM'!H53</f>
        <v>66.08401710532037</v>
      </c>
      <c r="I53" s="206">
        <f>'2 CARRILES HCM'!I53</f>
        <v>188.33944875016309</v>
      </c>
      <c r="J53" s="207">
        <f t="shared" si="1"/>
        <v>6608.4017105320372</v>
      </c>
    </row>
    <row r="54" spans="1:10" x14ac:dyDescent="0.25">
      <c r="A54" s="41">
        <v>2027</v>
      </c>
      <c r="B54" s="41">
        <v>14</v>
      </c>
      <c r="C54" s="206">
        <f>'2 CARRILES HCM'!C54</f>
        <v>5438.5163557165515</v>
      </c>
      <c r="D54" s="206">
        <f>'2 CARRILES HCM'!D54</f>
        <v>367.55930313979195</v>
      </c>
      <c r="E54" s="206">
        <f>'2 CARRILES HCM'!E54</f>
        <v>462.85245580566396</v>
      </c>
      <c r="F54" s="206">
        <f>'2 CARRILES HCM'!F54</f>
        <v>136.13307523696</v>
      </c>
      <c r="G54" s="206">
        <f>'2 CARRILES HCM'!G54</f>
        <v>139.53640211788399</v>
      </c>
      <c r="H54" s="206">
        <f>'2 CARRILES HCM'!H54</f>
        <v>68.066537618479998</v>
      </c>
      <c r="I54" s="206">
        <f>'2 CARRILES HCM'!I54</f>
        <v>193.989632212668</v>
      </c>
      <c r="J54" s="207">
        <f t="shared" si="1"/>
        <v>6806.6537618479997</v>
      </c>
    </row>
    <row r="55" spans="1:10" x14ac:dyDescent="0.25">
      <c r="A55" s="41">
        <v>2028</v>
      </c>
      <c r="B55" s="41">
        <v>15</v>
      </c>
      <c r="C55" s="206">
        <f>'2 CARRILES HCM'!C55</f>
        <v>5601.6718463880488</v>
      </c>
      <c r="D55" s="206">
        <f>'2 CARRILES HCM'!D55</f>
        <v>378.58608223398574</v>
      </c>
      <c r="E55" s="206">
        <f>'2 CARRILES HCM'!E55</f>
        <v>476.73802947983393</v>
      </c>
      <c r="F55" s="206">
        <f>'2 CARRILES HCM'!F55</f>
        <v>140.2170674940688</v>
      </c>
      <c r="G55" s="206">
        <f>'2 CARRILES HCM'!G55</f>
        <v>143.72249418142053</v>
      </c>
      <c r="H55" s="206">
        <f>'2 CARRILES HCM'!H55</f>
        <v>70.1085337470344</v>
      </c>
      <c r="I55" s="206">
        <f>'2 CARRILES HCM'!I55</f>
        <v>199.80932117904803</v>
      </c>
      <c r="J55" s="207">
        <f t="shared" si="1"/>
        <v>7010.8533747034398</v>
      </c>
    </row>
    <row r="56" spans="1:10" x14ac:dyDescent="0.25">
      <c r="A56" s="41">
        <v>2029</v>
      </c>
      <c r="B56" s="41">
        <v>16</v>
      </c>
      <c r="C56" s="206">
        <f>'2 CARRILES HCM'!C56</f>
        <v>5769.722001779689</v>
      </c>
      <c r="D56" s="206">
        <f>'2 CARRILES HCM'!D56</f>
        <v>389.94366470100528</v>
      </c>
      <c r="E56" s="206">
        <f>'2 CARRILES HCM'!E56</f>
        <v>491.04017036422886</v>
      </c>
      <c r="F56" s="206">
        <f>'2 CARRILES HCM'!F56</f>
        <v>144.42357951889085</v>
      </c>
      <c r="G56" s="206">
        <f>'2 CARRILES HCM'!G56</f>
        <v>148.0341690068631</v>
      </c>
      <c r="H56" s="206">
        <f>'2 CARRILES HCM'!H56</f>
        <v>72.211789759445423</v>
      </c>
      <c r="I56" s="206">
        <f>'2 CARRILES HCM'!I56</f>
        <v>205.80360081441944</v>
      </c>
      <c r="J56" s="207">
        <f t="shared" si="1"/>
        <v>7221.1789759445419</v>
      </c>
    </row>
    <row r="57" spans="1:10" x14ac:dyDescent="0.25">
      <c r="A57" s="41">
        <v>2030</v>
      </c>
      <c r="B57" s="41">
        <v>17</v>
      </c>
      <c r="C57" s="206">
        <f>'2 CARRILES HCM'!C57</f>
        <v>5942.81366183308</v>
      </c>
      <c r="D57" s="206">
        <f>'2 CARRILES HCM'!D57</f>
        <v>401.64197464203539</v>
      </c>
      <c r="E57" s="206">
        <f>'2 CARRILES HCM'!E57</f>
        <v>505.77137547515571</v>
      </c>
      <c r="F57" s="206">
        <f>'2 CARRILES HCM'!F57</f>
        <v>148.75628690445757</v>
      </c>
      <c r="G57" s="206">
        <f>'2 CARRILES HCM'!G57</f>
        <v>152.47519407706901</v>
      </c>
      <c r="H57" s="206">
        <f>'2 CARRILES HCM'!H57</f>
        <v>74.378143452228784</v>
      </c>
      <c r="I57" s="206">
        <f>'2 CARRILES HCM'!I57</f>
        <v>211.97770883885204</v>
      </c>
      <c r="J57" s="207">
        <f t="shared" si="1"/>
        <v>7437.8143452228787</v>
      </c>
    </row>
    <row r="58" spans="1:10" x14ac:dyDescent="0.25">
      <c r="A58" s="41">
        <v>2031</v>
      </c>
      <c r="B58" s="41">
        <v>18</v>
      </c>
      <c r="C58" s="206">
        <f>'2 CARRILES HCM'!C58</f>
        <v>6121.0980716880722</v>
      </c>
      <c r="D58" s="206">
        <f>'2 CARRILES HCM'!D58</f>
        <v>413.69123388129651</v>
      </c>
      <c r="E58" s="206">
        <f>'2 CARRILES HCM'!E58</f>
        <v>520.94451673941035</v>
      </c>
      <c r="F58" s="206">
        <f>'2 CARRILES HCM'!F58</f>
        <v>153.21897551159128</v>
      </c>
      <c r="G58" s="206">
        <f>'2 CARRILES HCM'!G58</f>
        <v>157.04944989938107</v>
      </c>
      <c r="H58" s="206">
        <f>'2 CARRILES HCM'!H58</f>
        <v>76.609487755795641</v>
      </c>
      <c r="I58" s="206">
        <f>'2 CARRILES HCM'!I58</f>
        <v>218.3370401040176</v>
      </c>
      <c r="J58" s="207">
        <f t="shared" si="1"/>
        <v>7660.9487755795644</v>
      </c>
    </row>
    <row r="59" spans="1:10" x14ac:dyDescent="0.25">
      <c r="A59" s="41">
        <v>2032</v>
      </c>
      <c r="B59" s="41">
        <v>19</v>
      </c>
      <c r="C59" s="206">
        <f>'2 CARRILES HCM'!C59</f>
        <v>6304.7310138387138</v>
      </c>
      <c r="D59" s="206">
        <f>'2 CARRILES HCM'!D59</f>
        <v>426.10197089773538</v>
      </c>
      <c r="E59" s="206">
        <f>'2 CARRILES HCM'!E59</f>
        <v>536.57285224159273</v>
      </c>
      <c r="F59" s="206">
        <f>'2 CARRILES HCM'!F59</f>
        <v>157.81554477693902</v>
      </c>
      <c r="G59" s="206">
        <f>'2 CARRILES HCM'!G59</f>
        <v>161.7609333963625</v>
      </c>
      <c r="H59" s="206">
        <f>'2 CARRILES HCM'!H59</f>
        <v>78.90777238846951</v>
      </c>
      <c r="I59" s="206">
        <f>'2 CARRILES HCM'!I59</f>
        <v>224.88715130713811</v>
      </c>
      <c r="J59" s="207">
        <f t="shared" si="1"/>
        <v>7890.7772388469511</v>
      </c>
    </row>
    <row r="60" spans="1:10" x14ac:dyDescent="0.25">
      <c r="A60" s="41">
        <v>2033</v>
      </c>
      <c r="B60" s="41">
        <v>20</v>
      </c>
      <c r="C60" s="206">
        <f>'2 CARRILES HCM'!C60</f>
        <v>6493.8729442538752</v>
      </c>
      <c r="D60" s="206">
        <f>'2 CARRILES HCM'!D60</f>
        <v>438.8850300246674</v>
      </c>
      <c r="E60" s="206">
        <f>'2 CARRILES HCM'!E60</f>
        <v>552.67003780884045</v>
      </c>
      <c r="F60" s="206">
        <f>'2 CARRILES HCM'!F60</f>
        <v>162.55001112024721</v>
      </c>
      <c r="G60" s="206">
        <f>'2 CARRILES HCM'!G60</f>
        <v>166.61376139825336</v>
      </c>
      <c r="H60" s="206">
        <f>'2 CARRILES HCM'!H60</f>
        <v>81.275005560123603</v>
      </c>
      <c r="I60" s="206">
        <f>'2 CARRILES HCM'!I60</f>
        <v>231.63376584635225</v>
      </c>
      <c r="J60" s="207">
        <f t="shared" si="1"/>
        <v>8127.5005560123609</v>
      </c>
    </row>
    <row r="61" spans="1:10" x14ac:dyDescent="0.25">
      <c r="A61" s="41">
        <v>2034</v>
      </c>
      <c r="B61" s="41">
        <v>21</v>
      </c>
      <c r="C61" s="206">
        <f>'2 CARRILES HCM'!C61</f>
        <v>6688.6891325814904</v>
      </c>
      <c r="D61" s="206">
        <f>'2 CARRILES HCM'!D61</f>
        <v>452.05158092540739</v>
      </c>
      <c r="E61" s="206">
        <f>'2 CARRILES HCM'!E61</f>
        <v>569.25013894310564</v>
      </c>
      <c r="F61" s="206">
        <f>'2 CARRILES HCM'!F61</f>
        <v>167.42651145385457</v>
      </c>
      <c r="G61" s="206">
        <f>'2 CARRILES HCM'!G61</f>
        <v>171.61217424020094</v>
      </c>
      <c r="H61" s="206">
        <f>'2 CARRILES HCM'!H61</f>
        <v>83.713255726927287</v>
      </c>
      <c r="I61" s="206">
        <f>'2 CARRILES HCM'!I61</f>
        <v>238.58277882174278</v>
      </c>
      <c r="J61" s="207">
        <f t="shared" si="1"/>
        <v>8371.3255726927291</v>
      </c>
    </row>
    <row r="62" spans="1:10" x14ac:dyDescent="0.25">
      <c r="A62" s="41">
        <v>2035</v>
      </c>
      <c r="B62" s="41">
        <v>22</v>
      </c>
      <c r="C62" s="206">
        <f>'2 CARRILES HCM'!C62</f>
        <v>6889.3498065589365</v>
      </c>
      <c r="D62" s="206">
        <f>'2 CARRILES HCM'!D62</f>
        <v>465.61312835316966</v>
      </c>
      <c r="E62" s="206">
        <f>'2 CARRILES HCM'!E62</f>
        <v>586.32764311139886</v>
      </c>
      <c r="F62" s="206">
        <f>'2 CARRILES HCM'!F62</f>
        <v>172.44930679747023</v>
      </c>
      <c r="G62" s="206">
        <f>'2 CARRILES HCM'!G62</f>
        <v>176.760539467407</v>
      </c>
      <c r="H62" s="206">
        <f>'2 CARRILES HCM'!H62</f>
        <v>86.224653398735114</v>
      </c>
      <c r="I62" s="206">
        <f>'2 CARRILES HCM'!I62</f>
        <v>245.74026218639509</v>
      </c>
      <c r="J62" s="207">
        <f t="shared" si="1"/>
        <v>8622.4653398735118</v>
      </c>
    </row>
    <row r="63" spans="1:10" x14ac:dyDescent="0.25">
      <c r="A63" s="41">
        <v>2036</v>
      </c>
      <c r="B63" s="41">
        <v>23</v>
      </c>
      <c r="C63" s="206">
        <f>'2 CARRILES HCM'!C63</f>
        <v>7096.030300755705</v>
      </c>
      <c r="D63" s="206">
        <f>'2 CARRILES HCM'!D63</f>
        <v>479.58152220376479</v>
      </c>
      <c r="E63" s="206">
        <f>'2 CARRILES HCM'!E63</f>
        <v>603.91747240474081</v>
      </c>
      <c r="F63" s="206">
        <f>'2 CARRILES HCM'!F63</f>
        <v>177.62278600139436</v>
      </c>
      <c r="G63" s="206">
        <f>'2 CARRILES HCM'!G63</f>
        <v>182.06335565142922</v>
      </c>
      <c r="H63" s="206">
        <f>'2 CARRILES HCM'!H63</f>
        <v>88.81139300069718</v>
      </c>
      <c r="I63" s="206">
        <f>'2 CARRILES HCM'!I63</f>
        <v>253.11247005198697</v>
      </c>
      <c r="J63" s="207">
        <f t="shared" si="1"/>
        <v>8881.1393000697171</v>
      </c>
    </row>
    <row r="64" spans="1:10" x14ac:dyDescent="0.25">
      <c r="A64" s="41">
        <v>2037</v>
      </c>
      <c r="B64" s="41">
        <v>24</v>
      </c>
      <c r="C64" s="206">
        <f>'2 CARRILES HCM'!C64</f>
        <v>7308.9112097783745</v>
      </c>
      <c r="D64" s="206">
        <f>'2 CARRILES HCM'!D64</f>
        <v>493.96896786987764</v>
      </c>
      <c r="E64" s="206">
        <f>'2 CARRILES HCM'!E64</f>
        <v>622.03499657688292</v>
      </c>
      <c r="F64" s="206">
        <f>'2 CARRILES HCM'!F64</f>
        <v>182.95146958143616</v>
      </c>
      <c r="G64" s="206">
        <f>'2 CARRILES HCM'!G64</f>
        <v>187.52525632097206</v>
      </c>
      <c r="H64" s="206">
        <f>'2 CARRILES HCM'!H64</f>
        <v>91.475734790718079</v>
      </c>
      <c r="I64" s="206">
        <f>'2 CARRILES HCM'!I64</f>
        <v>260.70584415354654</v>
      </c>
      <c r="J64" s="207">
        <f t="shared" si="1"/>
        <v>9147.5734790718088</v>
      </c>
    </row>
    <row r="65" spans="1:10" x14ac:dyDescent="0.25">
      <c r="A65" s="41">
        <v>2038</v>
      </c>
      <c r="B65" s="41">
        <v>25</v>
      </c>
      <c r="C65" s="206">
        <f>'2 CARRILES HCM'!C65</f>
        <v>7528.1785460717256</v>
      </c>
      <c r="D65" s="206">
        <f>'2 CARRILES HCM'!D65</f>
        <v>508.78803690597397</v>
      </c>
      <c r="E65" s="206">
        <f>'2 CARRILES HCM'!E65</f>
        <v>640.69604647418942</v>
      </c>
      <c r="F65" s="206">
        <f>'2 CARRILES HCM'!F65</f>
        <v>188.44001366887923</v>
      </c>
      <c r="G65" s="206">
        <f>'2 CARRILES HCM'!G65</f>
        <v>193.15101401060122</v>
      </c>
      <c r="H65" s="206">
        <f>'2 CARRILES HCM'!H65</f>
        <v>94.220006834439616</v>
      </c>
      <c r="I65" s="206">
        <f>'2 CARRILES HCM'!I65</f>
        <v>268.52701947815291</v>
      </c>
      <c r="J65" s="207">
        <f t="shared" si="1"/>
        <v>9422.0006834439628</v>
      </c>
    </row>
    <row r="66" spans="1:10" x14ac:dyDescent="0.25">
      <c r="A66" s="41">
        <v>2039</v>
      </c>
      <c r="B66" s="41">
        <v>26</v>
      </c>
      <c r="C66" s="206">
        <f>'2 CARRILES HCM'!C66</f>
        <v>7754.0239024538787</v>
      </c>
      <c r="D66" s="206">
        <f>'2 CARRILES HCM'!D66</f>
        <v>524.05167801315326</v>
      </c>
      <c r="E66" s="206">
        <f>'2 CARRILES HCM'!E66</f>
        <v>659.9169278684152</v>
      </c>
      <c r="F66" s="206">
        <f>'2 CARRILES HCM'!F66</f>
        <v>194.09321407894566</v>
      </c>
      <c r="G66" s="206">
        <f>'2 CARRILES HCM'!G66</f>
        <v>198.94554443091928</v>
      </c>
      <c r="H66" s="206">
        <f>'2 CARRILES HCM'!H66</f>
        <v>97.046607039472832</v>
      </c>
      <c r="I66" s="206">
        <f>'2 CARRILES HCM'!I66</f>
        <v>276.58283006249758</v>
      </c>
      <c r="J66" s="207">
        <f t="shared" si="1"/>
        <v>9704.6607039472819</v>
      </c>
    </row>
    <row r="67" spans="1:10" x14ac:dyDescent="0.25">
      <c r="A67" s="41">
        <v>2040</v>
      </c>
      <c r="B67" s="41">
        <v>27</v>
      </c>
      <c r="C67" s="206">
        <f>'2 CARRILES HCM'!C67</f>
        <v>7986.6446195274939</v>
      </c>
      <c r="D67" s="206">
        <f>'2 CARRILES HCM'!D67</f>
        <v>539.77322835354778</v>
      </c>
      <c r="E67" s="206">
        <f>'2 CARRILES HCM'!E67</f>
        <v>679.71443570446763</v>
      </c>
      <c r="F67" s="206">
        <f>'2 CARRILES HCM'!F67</f>
        <v>199.91601050131399</v>
      </c>
      <c r="G67" s="206">
        <f>'2 CARRILES HCM'!G67</f>
        <v>204.91391076384684</v>
      </c>
      <c r="H67" s="206">
        <f>'2 CARRILES HCM'!H67</f>
        <v>99.958005250656996</v>
      </c>
      <c r="I67" s="206">
        <f>'2 CARRILES HCM'!I67</f>
        <v>284.88031496437242</v>
      </c>
      <c r="J67" s="207">
        <f t="shared" si="1"/>
        <v>9995.8005250656988</v>
      </c>
    </row>
    <row r="68" spans="1:10" x14ac:dyDescent="0.25">
      <c r="A68" s="41">
        <v>2041</v>
      </c>
      <c r="B68" s="41">
        <v>28</v>
      </c>
      <c r="C68" s="206">
        <f>'2 CARRILES HCM'!C68</f>
        <v>8226.2439581133185</v>
      </c>
      <c r="D68" s="206">
        <f>'2 CARRILES HCM'!D68</f>
        <v>555.96642520415423</v>
      </c>
      <c r="E68" s="206">
        <f>'2 CARRILES HCM'!E68</f>
        <v>700.10586877560161</v>
      </c>
      <c r="F68" s="206">
        <f>'2 CARRILES HCM'!F68</f>
        <v>205.91349081635343</v>
      </c>
      <c r="G68" s="206">
        <f>'2 CARRILES HCM'!G68</f>
        <v>211.06132808676224</v>
      </c>
      <c r="H68" s="206">
        <f>'2 CARRILES HCM'!H68</f>
        <v>102.95674540817672</v>
      </c>
      <c r="I68" s="206">
        <f>'2 CARRILES HCM'!I68</f>
        <v>293.42672441330365</v>
      </c>
      <c r="J68" s="207">
        <f t="shared" si="1"/>
        <v>10295.674540817672</v>
      </c>
    </row>
    <row r="69" spans="1:10" x14ac:dyDescent="0.25">
      <c r="A69" s="41">
        <v>2042</v>
      </c>
      <c r="B69" s="41">
        <v>29</v>
      </c>
      <c r="C69" s="206">
        <f>'2 CARRILES HCM'!C69</f>
        <v>8473.0312768567183</v>
      </c>
      <c r="D69" s="206">
        <f>'2 CARRILES HCM'!D69</f>
        <v>572.64541796027879</v>
      </c>
      <c r="E69" s="206">
        <f>'2 CARRILES HCM'!E69</f>
        <v>721.10904483886964</v>
      </c>
      <c r="F69" s="206">
        <f>'2 CARRILES HCM'!F69</f>
        <v>212.090895540844</v>
      </c>
      <c r="G69" s="206">
        <f>'2 CARRILES HCM'!G69</f>
        <v>217.39316792936509</v>
      </c>
      <c r="H69" s="206">
        <f>'2 CARRILES HCM'!H69</f>
        <v>106.045447770422</v>
      </c>
      <c r="I69" s="206">
        <f>'2 CARRILES HCM'!I69</f>
        <v>302.22952614570272</v>
      </c>
      <c r="J69" s="207">
        <f t="shared" si="1"/>
        <v>10604.5447770422</v>
      </c>
    </row>
    <row r="70" spans="1:10" x14ac:dyDescent="0.25">
      <c r="A70" s="41">
        <v>2043</v>
      </c>
      <c r="B70" s="41">
        <v>30</v>
      </c>
      <c r="C70" s="206">
        <f>'2 CARRILES HCM'!C70</f>
        <v>8727.2222151624192</v>
      </c>
      <c r="D70" s="206">
        <f>'2 CARRILES HCM'!D70</f>
        <v>589.82478049908718</v>
      </c>
      <c r="E70" s="206">
        <f>'2 CARRILES HCM'!E70</f>
        <v>742.74231618403564</v>
      </c>
      <c r="F70" s="206">
        <f>'2 CARRILES HCM'!F70</f>
        <v>218.45362240706933</v>
      </c>
      <c r="G70" s="206">
        <f>'2 CARRILES HCM'!G70</f>
        <v>223.91496296724605</v>
      </c>
      <c r="H70" s="206">
        <f>'2 CARRILES HCM'!H70</f>
        <v>109.22681120353467</v>
      </c>
      <c r="I70" s="206">
        <f>'2 CARRILES HCM'!I70</f>
        <v>311.29641193007376</v>
      </c>
      <c r="J70" s="207">
        <f t="shared" si="1"/>
        <v>10922.681120353467</v>
      </c>
    </row>
    <row r="71" spans="1:10" x14ac:dyDescent="0.25">
      <c r="A71" s="41">
        <v>2044</v>
      </c>
      <c r="B71" s="41">
        <v>31</v>
      </c>
      <c r="C71" s="206">
        <f>'2 CARRILES HCM'!C71</f>
        <v>8989.0388816172926</v>
      </c>
      <c r="D71" s="206">
        <f>'2 CARRILES HCM'!D71</f>
        <v>607.51952391405985</v>
      </c>
      <c r="E71" s="206">
        <f>'2 CARRILES HCM'!E71</f>
        <v>765.02458566955693</v>
      </c>
      <c r="F71" s="206">
        <f>'2 CARRILES HCM'!F71</f>
        <v>225.00723107928144</v>
      </c>
      <c r="G71" s="206">
        <f>'2 CARRILES HCM'!G71</f>
        <v>230.63241185626347</v>
      </c>
      <c r="H71" s="206">
        <f>'2 CARRILES HCM'!H71</f>
        <v>112.50361553964072</v>
      </c>
      <c r="I71" s="206">
        <f>'2 CARRILES HCM'!I71</f>
        <v>320.63530428797606</v>
      </c>
      <c r="J71" s="207">
        <f>SUM(C71:I71)</f>
        <v>11250.361553964072</v>
      </c>
    </row>
    <row r="72" spans="1:10" ht="15.75" thickBot="1" x14ac:dyDescent="0.3">
      <c r="A72" s="41">
        <v>2045</v>
      </c>
      <c r="B72" s="41">
        <v>32</v>
      </c>
      <c r="C72" s="206">
        <f>'2 CARRILES HCM'!C72</f>
        <v>9258.71004806581</v>
      </c>
      <c r="D72" s="206">
        <f>'2 CARRILES HCM'!D72</f>
        <v>625.74510963148157</v>
      </c>
      <c r="E72" s="206">
        <f>'2 CARRILES HCM'!E72</f>
        <v>787.97532323964344</v>
      </c>
      <c r="F72" s="206">
        <f>'2 CARRILES HCM'!F72</f>
        <v>231.75744801165985</v>
      </c>
      <c r="G72" s="206">
        <f>'2 CARRILES HCM'!G72</f>
        <v>237.55138421195133</v>
      </c>
      <c r="H72" s="206">
        <f>'2 CARRILES HCM'!H72</f>
        <v>115.87872400582992</v>
      </c>
      <c r="I72" s="206">
        <f>'2 CARRILES HCM'!I72</f>
        <v>330.25436341661526</v>
      </c>
      <c r="J72" s="207">
        <f>SUM(C72:I72)</f>
        <v>11587.872400582992</v>
      </c>
    </row>
    <row r="73" spans="1:10" ht="15.75" thickBot="1" x14ac:dyDescent="0.3">
      <c r="A73" s="70"/>
      <c r="B73" s="71" t="s">
        <v>54</v>
      </c>
      <c r="C73" s="297">
        <f>'2 CARRILES HCM'!C73</f>
        <v>0.03</v>
      </c>
      <c r="D73" s="297">
        <f>'2 CARRILES HCM'!D73</f>
        <v>0.03</v>
      </c>
      <c r="E73" s="297">
        <f>'2 CARRILES HCM'!E73</f>
        <v>0.03</v>
      </c>
      <c r="F73" s="297">
        <f>'2 CARRILES HCM'!F73</f>
        <v>0.03</v>
      </c>
      <c r="G73" s="297">
        <f>'2 CARRILES HCM'!G73</f>
        <v>0.03</v>
      </c>
      <c r="H73" s="297">
        <f>'2 CARRILES HCM'!H73</f>
        <v>0.03</v>
      </c>
      <c r="I73" s="297">
        <f>'2 CARRILES HCM'!I73</f>
        <v>0.03</v>
      </c>
      <c r="J73" s="208">
        <f>SUM(C73:I73)/7</f>
        <v>0.03</v>
      </c>
    </row>
    <row r="75" spans="1:10" x14ac:dyDescent="0.25">
      <c r="A75" s="74" t="s">
        <v>57</v>
      </c>
      <c r="B75" s="74"/>
      <c r="C75" s="74"/>
    </row>
    <row r="76" spans="1:10" x14ac:dyDescent="0.25">
      <c r="A76" s="68" t="s">
        <v>18</v>
      </c>
      <c r="B76" s="68" t="s">
        <v>45</v>
      </c>
      <c r="C76" s="41" t="s">
        <v>46</v>
      </c>
      <c r="D76" s="41" t="s">
        <v>47</v>
      </c>
      <c r="E76" s="41" t="s">
        <v>48</v>
      </c>
      <c r="F76" s="41" t="s">
        <v>49</v>
      </c>
      <c r="G76" s="41" t="s">
        <v>50</v>
      </c>
      <c r="H76" s="41" t="s">
        <v>51</v>
      </c>
      <c r="I76" s="41" t="s">
        <v>52</v>
      </c>
      <c r="J76" s="41" t="s">
        <v>53</v>
      </c>
    </row>
    <row r="77" spans="1:10" x14ac:dyDescent="0.25">
      <c r="A77" s="41">
        <v>2013</v>
      </c>
      <c r="B77" s="41">
        <v>0</v>
      </c>
      <c r="C77" s="206">
        <f>'2 CARRILES HCM'!C78</f>
        <v>7191</v>
      </c>
      <c r="D77" s="206">
        <f>'2 CARRILES HCM'!D78</f>
        <v>486</v>
      </c>
      <c r="E77" s="206">
        <f>'2 CARRILES HCM'!E78</f>
        <v>612</v>
      </c>
      <c r="F77" s="206">
        <f>'2 CARRILES HCM'!F78</f>
        <v>180</v>
      </c>
      <c r="G77" s="206">
        <f>'2 CARRILES HCM'!G78</f>
        <v>184.5</v>
      </c>
      <c r="H77" s="206">
        <f>'2 CARRILES HCM'!H78</f>
        <v>90</v>
      </c>
      <c r="I77" s="206">
        <f>'2 CARRILES HCM'!I78</f>
        <v>256.5</v>
      </c>
      <c r="J77" s="207">
        <f>SUM(C77:I77)</f>
        <v>9000</v>
      </c>
    </row>
    <row r="78" spans="1:10" x14ac:dyDescent="0.25">
      <c r="A78" s="41">
        <v>2014</v>
      </c>
      <c r="B78" s="41">
        <v>1</v>
      </c>
      <c r="C78" s="206">
        <f>'2 CARRILES HCM'!C79</f>
        <v>7406.7300000000005</v>
      </c>
      <c r="D78" s="206">
        <f>'2 CARRILES HCM'!D79</f>
        <v>500.58000000000004</v>
      </c>
      <c r="E78" s="206">
        <f>'2 CARRILES HCM'!E79</f>
        <v>630.36</v>
      </c>
      <c r="F78" s="206">
        <f>'2 CARRILES HCM'!F79</f>
        <v>185.4</v>
      </c>
      <c r="G78" s="206">
        <f>'2 CARRILES HCM'!G79</f>
        <v>190.035</v>
      </c>
      <c r="H78" s="206">
        <f>'2 CARRILES HCM'!H79</f>
        <v>92.7</v>
      </c>
      <c r="I78" s="206">
        <f>'2 CARRILES HCM'!I79</f>
        <v>264.19499999999999</v>
      </c>
      <c r="J78" s="207">
        <f t="shared" ref="J78:J107" si="2">SUM(C78:I78)</f>
        <v>9270</v>
      </c>
    </row>
    <row r="79" spans="1:10" x14ac:dyDescent="0.25">
      <c r="A79" s="41">
        <v>2015</v>
      </c>
      <c r="B79" s="41">
        <v>2</v>
      </c>
      <c r="C79" s="206">
        <f>'2 CARRILES HCM'!C80</f>
        <v>7628.9318999999996</v>
      </c>
      <c r="D79" s="206">
        <f>'2 CARRILES HCM'!D80</f>
        <v>515.59739999999999</v>
      </c>
      <c r="E79" s="206">
        <f>'2 CARRILES HCM'!E80</f>
        <v>649.27080000000001</v>
      </c>
      <c r="F79" s="206">
        <f>'2 CARRILES HCM'!F80</f>
        <v>190.96199999999999</v>
      </c>
      <c r="G79" s="206">
        <f>'2 CARRILES HCM'!G80</f>
        <v>195.73604999999998</v>
      </c>
      <c r="H79" s="206">
        <f>'2 CARRILES HCM'!H80</f>
        <v>95.480999999999995</v>
      </c>
      <c r="I79" s="206">
        <f>'2 CARRILES HCM'!I80</f>
        <v>272.12084999999996</v>
      </c>
      <c r="J79" s="207">
        <f t="shared" si="2"/>
        <v>9548.0999999999967</v>
      </c>
    </row>
    <row r="80" spans="1:10" x14ac:dyDescent="0.25">
      <c r="A80" s="41">
        <v>2016</v>
      </c>
      <c r="B80" s="41">
        <v>3</v>
      </c>
      <c r="C80" s="206">
        <f>'2 CARRILES HCM'!C81</f>
        <v>7857.799857</v>
      </c>
      <c r="D80" s="206">
        <f>'2 CARRILES HCM'!D81</f>
        <v>531.06532200000004</v>
      </c>
      <c r="E80" s="206">
        <f>'2 CARRILES HCM'!E81</f>
        <v>668.74892399999999</v>
      </c>
      <c r="F80" s="206">
        <f>'2 CARRILES HCM'!F81</f>
        <v>196.69085999999999</v>
      </c>
      <c r="G80" s="206">
        <f>'2 CARRILES HCM'!G81</f>
        <v>201.60813150000001</v>
      </c>
      <c r="H80" s="206">
        <f>'2 CARRILES HCM'!H81</f>
        <v>98.345429999999993</v>
      </c>
      <c r="I80" s="206">
        <f>'2 CARRILES HCM'!I81</f>
        <v>280.28447549999999</v>
      </c>
      <c r="J80" s="207">
        <f t="shared" si="2"/>
        <v>9834.5429999999997</v>
      </c>
    </row>
    <row r="81" spans="1:10" x14ac:dyDescent="0.25">
      <c r="A81" s="41">
        <v>2017</v>
      </c>
      <c r="B81" s="41">
        <v>4</v>
      </c>
      <c r="C81" s="206">
        <f>'2 CARRILES HCM'!C82</f>
        <v>8093.5338527099993</v>
      </c>
      <c r="D81" s="206">
        <f>'2 CARRILES HCM'!D82</f>
        <v>546.99728166</v>
      </c>
      <c r="E81" s="206">
        <f>'2 CARRILES HCM'!E82</f>
        <v>688.81139171999996</v>
      </c>
      <c r="F81" s="206">
        <f>'2 CARRILES HCM'!F82</f>
        <v>202.59158579999999</v>
      </c>
      <c r="G81" s="206">
        <f>'2 CARRILES HCM'!G82</f>
        <v>207.65637544499998</v>
      </c>
      <c r="H81" s="206">
        <f>'2 CARRILES HCM'!H82</f>
        <v>101.2957929</v>
      </c>
      <c r="I81" s="206">
        <f>'2 CARRILES HCM'!I82</f>
        <v>288.693009765</v>
      </c>
      <c r="J81" s="207">
        <f t="shared" si="2"/>
        <v>10129.579290000001</v>
      </c>
    </row>
    <row r="82" spans="1:10" x14ac:dyDescent="0.25">
      <c r="A82" s="41">
        <v>2018</v>
      </c>
      <c r="B82" s="41">
        <v>5</v>
      </c>
      <c r="C82" s="206">
        <f>'2 CARRILES HCM'!C83</f>
        <v>8336.3398682912994</v>
      </c>
      <c r="D82" s="206">
        <f>'2 CARRILES HCM'!D83</f>
        <v>563.40720010979987</v>
      </c>
      <c r="E82" s="206">
        <f>'2 CARRILES HCM'!E83</f>
        <v>709.47573347159994</v>
      </c>
      <c r="F82" s="206">
        <f>'2 CARRILES HCM'!F83</f>
        <v>208.66933337399996</v>
      </c>
      <c r="G82" s="206">
        <f>'2 CARRILES HCM'!G83</f>
        <v>213.88606670834997</v>
      </c>
      <c r="H82" s="206">
        <f>'2 CARRILES HCM'!H83</f>
        <v>104.33466668699998</v>
      </c>
      <c r="I82" s="206">
        <f>'2 CARRILES HCM'!I83</f>
        <v>297.35380005794997</v>
      </c>
      <c r="J82" s="207">
        <f t="shared" si="2"/>
        <v>10433.466668699999</v>
      </c>
    </row>
    <row r="83" spans="1:10" x14ac:dyDescent="0.25">
      <c r="A83" s="41">
        <v>2019</v>
      </c>
      <c r="B83" s="41">
        <v>6</v>
      </c>
      <c r="C83" s="206">
        <f>'2 CARRILES HCM'!C84</f>
        <v>8586.4300643400384</v>
      </c>
      <c r="D83" s="206">
        <f>'2 CARRILES HCM'!D84</f>
        <v>580.3094161130939</v>
      </c>
      <c r="E83" s="206">
        <f>'2 CARRILES HCM'!E84</f>
        <v>730.7600054757479</v>
      </c>
      <c r="F83" s="206">
        <f>'2 CARRILES HCM'!F84</f>
        <v>214.92941337521998</v>
      </c>
      <c r="G83" s="206">
        <f>'2 CARRILES HCM'!G84</f>
        <v>220.30264870960048</v>
      </c>
      <c r="H83" s="206">
        <f>'2 CARRILES HCM'!H84</f>
        <v>107.46470668760999</v>
      </c>
      <c r="I83" s="206">
        <f>'2 CARRILES HCM'!I84</f>
        <v>306.27441405968847</v>
      </c>
      <c r="J83" s="207">
        <f t="shared" si="2"/>
        <v>10746.470668760998</v>
      </c>
    </row>
    <row r="84" spans="1:10" x14ac:dyDescent="0.25">
      <c r="A84" s="41">
        <v>2020</v>
      </c>
      <c r="B84" s="41">
        <v>7</v>
      </c>
      <c r="C84" s="206">
        <f>'2 CARRILES HCM'!C85</f>
        <v>8844.0229662702404</v>
      </c>
      <c r="D84" s="206">
        <f>'2 CARRILES HCM'!D85</f>
        <v>597.71869859648677</v>
      </c>
      <c r="E84" s="206">
        <f>'2 CARRILES HCM'!E85</f>
        <v>752.68280564002043</v>
      </c>
      <c r="F84" s="206">
        <f>'2 CARRILES HCM'!F85</f>
        <v>221.37729577647659</v>
      </c>
      <c r="G84" s="206">
        <f>'2 CARRILES HCM'!G85</f>
        <v>226.91172817088852</v>
      </c>
      <c r="H84" s="206">
        <f>'2 CARRILES HCM'!H85</f>
        <v>110.68864788823829</v>
      </c>
      <c r="I84" s="206">
        <f>'2 CARRILES HCM'!I85</f>
        <v>315.46264648147917</v>
      </c>
      <c r="J84" s="207">
        <f t="shared" si="2"/>
        <v>11068.86478882383</v>
      </c>
    </row>
    <row r="85" spans="1:10" x14ac:dyDescent="0.25">
      <c r="A85" s="41">
        <v>2021</v>
      </c>
      <c r="B85" s="41">
        <v>8</v>
      </c>
      <c r="C85" s="206">
        <f>'2 CARRILES HCM'!C86</f>
        <v>9109.3436552583462</v>
      </c>
      <c r="D85" s="206">
        <f>'2 CARRILES HCM'!D86</f>
        <v>615.65025955438136</v>
      </c>
      <c r="E85" s="206">
        <f>'2 CARRILES HCM'!E86</f>
        <v>775.26328980922096</v>
      </c>
      <c r="F85" s="206">
        <f>'2 CARRILES HCM'!F86</f>
        <v>228.01861464977088</v>
      </c>
      <c r="G85" s="206">
        <f>'2 CARRILES HCM'!G86</f>
        <v>233.71908001601514</v>
      </c>
      <c r="H85" s="206">
        <f>'2 CARRILES HCM'!H86</f>
        <v>114.00930732488544</v>
      </c>
      <c r="I85" s="206">
        <f>'2 CARRILES HCM'!I86</f>
        <v>324.92652587592346</v>
      </c>
      <c r="J85" s="207">
        <f t="shared" si="2"/>
        <v>11400.930732488545</v>
      </c>
    </row>
    <row r="86" spans="1:10" x14ac:dyDescent="0.25">
      <c r="A86" s="41">
        <v>2022</v>
      </c>
      <c r="B86" s="41">
        <v>9</v>
      </c>
      <c r="C86" s="206">
        <f>'2 CARRILES HCM'!C87</f>
        <v>9382.6239649160962</v>
      </c>
      <c r="D86" s="206">
        <f>'2 CARRILES HCM'!D87</f>
        <v>634.11976734101279</v>
      </c>
      <c r="E86" s="206">
        <f>'2 CARRILES HCM'!E87</f>
        <v>798.52118850349757</v>
      </c>
      <c r="F86" s="206">
        <f>'2 CARRILES HCM'!F87</f>
        <v>234.859173089264</v>
      </c>
      <c r="G86" s="206">
        <f>'2 CARRILES HCM'!G87</f>
        <v>240.73065241649562</v>
      </c>
      <c r="H86" s="206">
        <f>'2 CARRILES HCM'!H87</f>
        <v>117.429586544632</v>
      </c>
      <c r="I86" s="206">
        <f>'2 CARRILES HCM'!I87</f>
        <v>334.67432165220123</v>
      </c>
      <c r="J86" s="207">
        <f t="shared" si="2"/>
        <v>11742.9586544632</v>
      </c>
    </row>
    <row r="87" spans="1:10" x14ac:dyDescent="0.25">
      <c r="A87" s="41">
        <v>2023</v>
      </c>
      <c r="B87" s="41">
        <v>10</v>
      </c>
      <c r="C87" s="206">
        <f>'2 CARRILES HCM'!C88</f>
        <v>9664.1026838635789</v>
      </c>
      <c r="D87" s="206">
        <f>'2 CARRILES HCM'!D88</f>
        <v>653.14336036124314</v>
      </c>
      <c r="E87" s="206">
        <f>'2 CARRILES HCM'!E88</f>
        <v>822.47682415860254</v>
      </c>
      <c r="F87" s="206">
        <f>'2 CARRILES HCM'!F88</f>
        <v>241.90494828194193</v>
      </c>
      <c r="G87" s="206">
        <f>'2 CARRILES HCM'!G88</f>
        <v>247.95257198899046</v>
      </c>
      <c r="H87" s="206">
        <f>'2 CARRILES HCM'!H88</f>
        <v>120.95247414097096</v>
      </c>
      <c r="I87" s="206">
        <f>'2 CARRILES HCM'!I88</f>
        <v>344.71455130176724</v>
      </c>
      <c r="J87" s="207">
        <f t="shared" si="2"/>
        <v>12095.247414097097</v>
      </c>
    </row>
    <row r="88" spans="1:10" x14ac:dyDescent="0.25">
      <c r="A88" s="41">
        <v>2024</v>
      </c>
      <c r="B88" s="41">
        <v>11</v>
      </c>
      <c r="C88" s="206">
        <f>'2 CARRILES HCM'!C89</f>
        <v>9954.0257643794866</v>
      </c>
      <c r="D88" s="206">
        <f>'2 CARRILES HCM'!D89</f>
        <v>672.73766117208049</v>
      </c>
      <c r="E88" s="206">
        <f>'2 CARRILES HCM'!E89</f>
        <v>847.15112888336068</v>
      </c>
      <c r="F88" s="206">
        <f>'2 CARRILES HCM'!F89</f>
        <v>249.16209673040018</v>
      </c>
      <c r="G88" s="206">
        <f>'2 CARRILES HCM'!G89</f>
        <v>255.39114914866019</v>
      </c>
      <c r="H88" s="206">
        <f>'2 CARRILES HCM'!H89</f>
        <v>124.58104836520009</v>
      </c>
      <c r="I88" s="206">
        <f>'2 CARRILES HCM'!I89</f>
        <v>355.05598784082025</v>
      </c>
      <c r="J88" s="207">
        <f t="shared" si="2"/>
        <v>12458.104836520009</v>
      </c>
    </row>
    <row r="89" spans="1:10" x14ac:dyDescent="0.25">
      <c r="A89" s="41">
        <v>2025</v>
      </c>
      <c r="B89" s="41">
        <v>12</v>
      </c>
      <c r="C89" s="206">
        <f>'2 CARRILES HCM'!C90</f>
        <v>10252.646537310871</v>
      </c>
      <c r="D89" s="206">
        <f>'2 CARRILES HCM'!D90</f>
        <v>692.91979100724279</v>
      </c>
      <c r="E89" s="206">
        <f>'2 CARRILES HCM'!E90</f>
        <v>872.5656627498613</v>
      </c>
      <c r="F89" s="206">
        <f>'2 CARRILES HCM'!F90</f>
        <v>256.63695963231214</v>
      </c>
      <c r="G89" s="206">
        <f>'2 CARRILES HCM'!G90</f>
        <v>263.05288362311995</v>
      </c>
      <c r="H89" s="206">
        <f>'2 CARRILES HCM'!H90</f>
        <v>128.31847981615607</v>
      </c>
      <c r="I89" s="206">
        <f>'2 CARRILES HCM'!I90</f>
        <v>365.70766747604483</v>
      </c>
      <c r="J89" s="207">
        <f t="shared" si="2"/>
        <v>12831.84798161561</v>
      </c>
    </row>
    <row r="90" spans="1:10" x14ac:dyDescent="0.25">
      <c r="A90" s="41">
        <v>2026</v>
      </c>
      <c r="B90" s="41">
        <v>13</v>
      </c>
      <c r="C90" s="206">
        <f>'2 CARRILES HCM'!C91</f>
        <v>10560.225933430196</v>
      </c>
      <c r="D90" s="206">
        <f>'2 CARRILES HCM'!D91</f>
        <v>713.70738473746007</v>
      </c>
      <c r="E90" s="206">
        <f>'2 CARRILES HCM'!E91</f>
        <v>898.74263263235707</v>
      </c>
      <c r="F90" s="206">
        <f>'2 CARRILES HCM'!F91</f>
        <v>264.33606842128148</v>
      </c>
      <c r="G90" s="206">
        <f>'2 CARRILES HCM'!G91</f>
        <v>270.94447013181355</v>
      </c>
      <c r="H90" s="206">
        <f>'2 CARRILES HCM'!H91</f>
        <v>132.16803421064074</v>
      </c>
      <c r="I90" s="206">
        <f>'2 CARRILES HCM'!I91</f>
        <v>376.67889750032617</v>
      </c>
      <c r="J90" s="207">
        <f t="shared" si="2"/>
        <v>13216.803421064074</v>
      </c>
    </row>
    <row r="91" spans="1:10" x14ac:dyDescent="0.25">
      <c r="A91" s="41">
        <v>2027</v>
      </c>
      <c r="B91" s="41">
        <v>14</v>
      </c>
      <c r="C91" s="206">
        <f>'2 CARRILES HCM'!C92</f>
        <v>10877.032711433103</v>
      </c>
      <c r="D91" s="206">
        <f>'2 CARRILES HCM'!D92</f>
        <v>735.1186062795839</v>
      </c>
      <c r="E91" s="206">
        <f>'2 CARRILES HCM'!E92</f>
        <v>925.70491161132793</v>
      </c>
      <c r="F91" s="206">
        <f>'2 CARRILES HCM'!F92</f>
        <v>272.26615047391999</v>
      </c>
      <c r="G91" s="206">
        <f>'2 CARRILES HCM'!G92</f>
        <v>279.07280423576799</v>
      </c>
      <c r="H91" s="206">
        <f>'2 CARRILES HCM'!H92</f>
        <v>136.13307523696</v>
      </c>
      <c r="I91" s="206">
        <f>'2 CARRILES HCM'!I92</f>
        <v>387.979264425336</v>
      </c>
      <c r="J91" s="207">
        <f t="shared" si="2"/>
        <v>13613.307523695999</v>
      </c>
    </row>
    <row r="92" spans="1:10" x14ac:dyDescent="0.25">
      <c r="A92" s="41">
        <v>2028</v>
      </c>
      <c r="B92" s="41">
        <v>15</v>
      </c>
      <c r="C92" s="206">
        <f>'2 CARRILES HCM'!C93</f>
        <v>11203.343692776098</v>
      </c>
      <c r="D92" s="206">
        <f>'2 CARRILES HCM'!D93</f>
        <v>757.17216446797147</v>
      </c>
      <c r="E92" s="206">
        <f>'2 CARRILES HCM'!E93</f>
        <v>953.47605895966785</v>
      </c>
      <c r="F92" s="206">
        <f>'2 CARRILES HCM'!F93</f>
        <v>280.4341349881376</v>
      </c>
      <c r="G92" s="206">
        <f>'2 CARRILES HCM'!G93</f>
        <v>287.44498836284106</v>
      </c>
      <c r="H92" s="206">
        <f>'2 CARRILES HCM'!H93</f>
        <v>140.2170674940688</v>
      </c>
      <c r="I92" s="206">
        <f>'2 CARRILES HCM'!I93</f>
        <v>399.61864235809605</v>
      </c>
      <c r="J92" s="207">
        <f t="shared" si="2"/>
        <v>14021.70674940688</v>
      </c>
    </row>
    <row r="93" spans="1:10" x14ac:dyDescent="0.25">
      <c r="A93" s="41">
        <v>2029</v>
      </c>
      <c r="B93" s="41">
        <v>16</v>
      </c>
      <c r="C93" s="206">
        <f>'2 CARRILES HCM'!C94</f>
        <v>11539.444003559378</v>
      </c>
      <c r="D93" s="206">
        <f>'2 CARRILES HCM'!D94</f>
        <v>779.88732940201055</v>
      </c>
      <c r="E93" s="206">
        <f>'2 CARRILES HCM'!E94</f>
        <v>982.08034072845771</v>
      </c>
      <c r="F93" s="206">
        <f>'2 CARRILES HCM'!F94</f>
        <v>288.84715903778169</v>
      </c>
      <c r="G93" s="206">
        <f>'2 CARRILES HCM'!G94</f>
        <v>296.06833801372619</v>
      </c>
      <c r="H93" s="206">
        <f>'2 CARRILES HCM'!H94</f>
        <v>144.42357951889085</v>
      </c>
      <c r="I93" s="206">
        <f>'2 CARRILES HCM'!I94</f>
        <v>411.60720162883888</v>
      </c>
      <c r="J93" s="207">
        <f t="shared" si="2"/>
        <v>14442.357951889084</v>
      </c>
    </row>
    <row r="94" spans="1:10" x14ac:dyDescent="0.25">
      <c r="A94" s="41">
        <v>2030</v>
      </c>
      <c r="B94" s="41">
        <v>17</v>
      </c>
      <c r="C94" s="206">
        <f>'2 CARRILES HCM'!C95</f>
        <v>11885.62732366616</v>
      </c>
      <c r="D94" s="206">
        <f>'2 CARRILES HCM'!D95</f>
        <v>803.28394928407079</v>
      </c>
      <c r="E94" s="206">
        <f>'2 CARRILES HCM'!E95</f>
        <v>1011.5427509503114</v>
      </c>
      <c r="F94" s="206">
        <f>'2 CARRILES HCM'!F95</f>
        <v>297.51257380891514</v>
      </c>
      <c r="G94" s="206">
        <f>'2 CARRILES HCM'!G95</f>
        <v>304.95038815413801</v>
      </c>
      <c r="H94" s="206">
        <f>'2 CARRILES HCM'!H95</f>
        <v>148.75628690445757</v>
      </c>
      <c r="I94" s="206">
        <f>'2 CARRILES HCM'!I95</f>
        <v>423.95541767770408</v>
      </c>
      <c r="J94" s="207">
        <f t="shared" si="2"/>
        <v>14875.628690445757</v>
      </c>
    </row>
    <row r="95" spans="1:10" x14ac:dyDescent="0.25">
      <c r="A95" s="41">
        <v>2031</v>
      </c>
      <c r="B95" s="41">
        <v>18</v>
      </c>
      <c r="C95" s="206">
        <f>'2 CARRILES HCM'!C96</f>
        <v>12242.196143376144</v>
      </c>
      <c r="D95" s="206">
        <f>'2 CARRILES HCM'!D96</f>
        <v>827.38246776259302</v>
      </c>
      <c r="E95" s="206">
        <f>'2 CARRILES HCM'!E96</f>
        <v>1041.8890334788207</v>
      </c>
      <c r="F95" s="206">
        <f>'2 CARRILES HCM'!F96</f>
        <v>306.43795102318256</v>
      </c>
      <c r="G95" s="206">
        <f>'2 CARRILES HCM'!G96</f>
        <v>314.09889979876215</v>
      </c>
      <c r="H95" s="206">
        <f>'2 CARRILES HCM'!H96</f>
        <v>153.21897551159128</v>
      </c>
      <c r="I95" s="206">
        <f>'2 CARRILES HCM'!I96</f>
        <v>436.67408020803521</v>
      </c>
      <c r="J95" s="207">
        <f t="shared" si="2"/>
        <v>15321.897551159129</v>
      </c>
    </row>
    <row r="96" spans="1:10" x14ac:dyDescent="0.25">
      <c r="A96" s="41">
        <v>2032</v>
      </c>
      <c r="B96" s="41">
        <v>19</v>
      </c>
      <c r="C96" s="206">
        <f>'2 CARRILES HCM'!C97</f>
        <v>12609.462027677428</v>
      </c>
      <c r="D96" s="206">
        <f>'2 CARRILES HCM'!D97</f>
        <v>852.20394179547077</v>
      </c>
      <c r="E96" s="206">
        <f>'2 CARRILES HCM'!E97</f>
        <v>1073.1457044831855</v>
      </c>
      <c r="F96" s="206">
        <f>'2 CARRILES HCM'!F97</f>
        <v>315.63108955387804</v>
      </c>
      <c r="G96" s="206">
        <f>'2 CARRILES HCM'!G97</f>
        <v>323.52186679272501</v>
      </c>
      <c r="H96" s="206">
        <f>'2 CARRILES HCM'!H97</f>
        <v>157.81554477693902</v>
      </c>
      <c r="I96" s="206">
        <f>'2 CARRILES HCM'!I97</f>
        <v>449.77430261427622</v>
      </c>
      <c r="J96" s="207">
        <f t="shared" si="2"/>
        <v>15781.554477693902</v>
      </c>
    </row>
    <row r="97" spans="1:10" x14ac:dyDescent="0.25">
      <c r="A97" s="41">
        <v>2033</v>
      </c>
      <c r="B97" s="41">
        <v>20</v>
      </c>
      <c r="C97" s="206">
        <f>'2 CARRILES HCM'!C98</f>
        <v>12987.74588850775</v>
      </c>
      <c r="D97" s="206">
        <f>'2 CARRILES HCM'!D98</f>
        <v>877.7700600493348</v>
      </c>
      <c r="E97" s="206">
        <f>'2 CARRILES HCM'!E98</f>
        <v>1105.3400756176809</v>
      </c>
      <c r="F97" s="206">
        <f>'2 CARRILES HCM'!F98</f>
        <v>325.10002224049441</v>
      </c>
      <c r="G97" s="206">
        <f>'2 CARRILES HCM'!G98</f>
        <v>333.22752279650672</v>
      </c>
      <c r="H97" s="206">
        <f>'2 CARRILES HCM'!H98</f>
        <v>162.55001112024721</v>
      </c>
      <c r="I97" s="206">
        <f>'2 CARRILES HCM'!I98</f>
        <v>463.26753169270449</v>
      </c>
      <c r="J97" s="207">
        <f t="shared" si="2"/>
        <v>16255.001112024722</v>
      </c>
    </row>
    <row r="98" spans="1:10" x14ac:dyDescent="0.25">
      <c r="A98" s="41">
        <v>2034</v>
      </c>
      <c r="B98" s="41">
        <v>21</v>
      </c>
      <c r="C98" s="206">
        <f>'2 CARRILES HCM'!C99</f>
        <v>13377.378265162981</v>
      </c>
      <c r="D98" s="206">
        <f>'2 CARRILES HCM'!D99</f>
        <v>904.10316185081479</v>
      </c>
      <c r="E98" s="206">
        <f>'2 CARRILES HCM'!E99</f>
        <v>1138.5002778862113</v>
      </c>
      <c r="F98" s="206">
        <f>'2 CARRILES HCM'!F99</f>
        <v>334.85302290770915</v>
      </c>
      <c r="G98" s="206">
        <f>'2 CARRILES HCM'!G99</f>
        <v>343.22434848040189</v>
      </c>
      <c r="H98" s="206">
        <f>'2 CARRILES HCM'!H99</f>
        <v>167.42651145385457</v>
      </c>
      <c r="I98" s="206">
        <f>'2 CARRILES HCM'!I99</f>
        <v>477.16555764348556</v>
      </c>
      <c r="J98" s="207">
        <f t="shared" si="2"/>
        <v>16742.651145385458</v>
      </c>
    </row>
    <row r="99" spans="1:10" x14ac:dyDescent="0.25">
      <c r="A99" s="41">
        <v>2035</v>
      </c>
      <c r="B99" s="41">
        <v>22</v>
      </c>
      <c r="C99" s="206">
        <f>'2 CARRILES HCM'!C100</f>
        <v>13778.699613117873</v>
      </c>
      <c r="D99" s="206">
        <f>'2 CARRILES HCM'!D100</f>
        <v>931.22625670633931</v>
      </c>
      <c r="E99" s="206">
        <f>'2 CARRILES HCM'!E100</f>
        <v>1172.6552862227977</v>
      </c>
      <c r="F99" s="206">
        <f>'2 CARRILES HCM'!F100</f>
        <v>344.89861359494046</v>
      </c>
      <c r="G99" s="206">
        <f>'2 CARRILES HCM'!G100</f>
        <v>353.521078934814</v>
      </c>
      <c r="H99" s="206">
        <f>'2 CARRILES HCM'!H100</f>
        <v>172.44930679747023</v>
      </c>
      <c r="I99" s="206">
        <f>'2 CARRILES HCM'!I100</f>
        <v>491.48052437279017</v>
      </c>
      <c r="J99" s="207">
        <f t="shared" si="2"/>
        <v>17244.930679747024</v>
      </c>
    </row>
    <row r="100" spans="1:10" x14ac:dyDescent="0.25">
      <c r="A100" s="41">
        <v>2036</v>
      </c>
      <c r="B100" s="41">
        <v>23</v>
      </c>
      <c r="C100" s="206">
        <f>'2 CARRILES HCM'!C101</f>
        <v>14192.06060151141</v>
      </c>
      <c r="D100" s="206">
        <f>'2 CARRILES HCM'!D101</f>
        <v>959.16304440752958</v>
      </c>
      <c r="E100" s="206">
        <f>'2 CARRILES HCM'!E101</f>
        <v>1207.8349448094816</v>
      </c>
      <c r="F100" s="206">
        <f>'2 CARRILES HCM'!F101</f>
        <v>355.24557200278872</v>
      </c>
      <c r="G100" s="206">
        <f>'2 CARRILES HCM'!G101</f>
        <v>364.12671130285844</v>
      </c>
      <c r="H100" s="206">
        <f>'2 CARRILES HCM'!H101</f>
        <v>177.62278600139436</v>
      </c>
      <c r="I100" s="206">
        <f>'2 CARRILES HCM'!I101</f>
        <v>506.22494010397395</v>
      </c>
      <c r="J100" s="207">
        <f t="shared" si="2"/>
        <v>17762.278600139434</v>
      </c>
    </row>
    <row r="101" spans="1:10" x14ac:dyDescent="0.25">
      <c r="A101" s="41">
        <v>2037</v>
      </c>
      <c r="B101" s="41">
        <v>24</v>
      </c>
      <c r="C101" s="206">
        <f>'2 CARRILES HCM'!C102</f>
        <v>14617.822419556749</v>
      </c>
      <c r="D101" s="206">
        <f>'2 CARRILES HCM'!D102</f>
        <v>987.93793573975529</v>
      </c>
      <c r="E101" s="206">
        <f>'2 CARRILES HCM'!E102</f>
        <v>1244.0699931537658</v>
      </c>
      <c r="F101" s="206">
        <f>'2 CARRILES HCM'!F102</f>
        <v>365.90293916287231</v>
      </c>
      <c r="G101" s="206">
        <f>'2 CARRILES HCM'!G102</f>
        <v>375.05051264194412</v>
      </c>
      <c r="H101" s="206">
        <f>'2 CARRILES HCM'!H102</f>
        <v>182.95146958143616</v>
      </c>
      <c r="I101" s="206">
        <f>'2 CARRILES HCM'!I102</f>
        <v>521.41168830709307</v>
      </c>
      <c r="J101" s="207">
        <f t="shared" si="2"/>
        <v>18295.146958143618</v>
      </c>
    </row>
    <row r="102" spans="1:10" x14ac:dyDescent="0.25">
      <c r="A102" s="41">
        <v>2038</v>
      </c>
      <c r="B102" s="41">
        <v>25</v>
      </c>
      <c r="C102" s="206">
        <f>'2 CARRILES HCM'!C103</f>
        <v>15056.357092143451</v>
      </c>
      <c r="D102" s="206">
        <f>'2 CARRILES HCM'!D103</f>
        <v>1017.5760738119479</v>
      </c>
      <c r="E102" s="206">
        <f>'2 CARRILES HCM'!E103</f>
        <v>1281.3920929483788</v>
      </c>
      <c r="F102" s="206">
        <f>'2 CARRILES HCM'!F103</f>
        <v>376.88002733775846</v>
      </c>
      <c r="G102" s="206">
        <f>'2 CARRILES HCM'!G103</f>
        <v>386.30202802120243</v>
      </c>
      <c r="H102" s="206">
        <f>'2 CARRILES HCM'!H103</f>
        <v>188.44001366887923</v>
      </c>
      <c r="I102" s="206">
        <f>'2 CARRILES HCM'!I103</f>
        <v>537.05403895630582</v>
      </c>
      <c r="J102" s="207">
        <f t="shared" si="2"/>
        <v>18844.001366887926</v>
      </c>
    </row>
    <row r="103" spans="1:10" x14ac:dyDescent="0.25">
      <c r="A103" s="41">
        <v>2039</v>
      </c>
      <c r="B103" s="41">
        <v>26</v>
      </c>
      <c r="C103" s="206">
        <f>'2 CARRILES HCM'!C104</f>
        <v>15508.047804907757</v>
      </c>
      <c r="D103" s="206">
        <f>'2 CARRILES HCM'!D104</f>
        <v>1048.1033560263065</v>
      </c>
      <c r="E103" s="206">
        <f>'2 CARRILES HCM'!E104</f>
        <v>1319.8338557368304</v>
      </c>
      <c r="F103" s="206">
        <f>'2 CARRILES HCM'!F104</f>
        <v>388.18642815789133</v>
      </c>
      <c r="G103" s="206">
        <f>'2 CARRILES HCM'!G104</f>
        <v>397.89108886183857</v>
      </c>
      <c r="H103" s="206">
        <f>'2 CARRILES HCM'!H104</f>
        <v>194.09321407894566</v>
      </c>
      <c r="I103" s="206">
        <f>'2 CARRILES HCM'!I104</f>
        <v>553.16566012499516</v>
      </c>
      <c r="J103" s="207">
        <f t="shared" si="2"/>
        <v>19409.321407894564</v>
      </c>
    </row>
    <row r="104" spans="1:10" x14ac:dyDescent="0.25">
      <c r="A104" s="41">
        <v>2040</v>
      </c>
      <c r="B104" s="41">
        <v>27</v>
      </c>
      <c r="C104" s="206">
        <f>'2 CARRILES HCM'!C105</f>
        <v>15973.289239054988</v>
      </c>
      <c r="D104" s="206">
        <f>'2 CARRILES HCM'!D105</f>
        <v>1079.5464567070956</v>
      </c>
      <c r="E104" s="206">
        <f>'2 CARRILES HCM'!E105</f>
        <v>1359.4288714089353</v>
      </c>
      <c r="F104" s="206">
        <f>'2 CARRILES HCM'!F105</f>
        <v>399.83202100262798</v>
      </c>
      <c r="G104" s="206">
        <f>'2 CARRILES HCM'!G105</f>
        <v>409.82782152769369</v>
      </c>
      <c r="H104" s="206">
        <f>'2 CARRILES HCM'!H105</f>
        <v>199.91601050131399</v>
      </c>
      <c r="I104" s="206">
        <f>'2 CARRILES HCM'!I105</f>
        <v>569.76062992874483</v>
      </c>
      <c r="J104" s="207">
        <f t="shared" si="2"/>
        <v>19991.601050131398</v>
      </c>
    </row>
    <row r="105" spans="1:10" x14ac:dyDescent="0.25">
      <c r="A105" s="41">
        <v>2041</v>
      </c>
      <c r="B105" s="41">
        <v>28</v>
      </c>
      <c r="C105" s="206">
        <f>'2 CARRILES HCM'!C106</f>
        <v>16452.487916226637</v>
      </c>
      <c r="D105" s="206">
        <f>'2 CARRILES HCM'!D106</f>
        <v>1111.9328504083085</v>
      </c>
      <c r="E105" s="206">
        <f>'2 CARRILES HCM'!E106</f>
        <v>1400.2117375512032</v>
      </c>
      <c r="F105" s="206">
        <f>'2 CARRILES HCM'!F106</f>
        <v>411.82698163270686</v>
      </c>
      <c r="G105" s="206">
        <f>'2 CARRILES HCM'!G106</f>
        <v>422.12265617352449</v>
      </c>
      <c r="H105" s="206">
        <f>'2 CARRILES HCM'!H106</f>
        <v>205.91349081635343</v>
      </c>
      <c r="I105" s="206">
        <f>'2 CARRILES HCM'!I106</f>
        <v>586.85344882660729</v>
      </c>
      <c r="J105" s="207">
        <f t="shared" si="2"/>
        <v>20591.349081635344</v>
      </c>
    </row>
    <row r="106" spans="1:10" x14ac:dyDescent="0.25">
      <c r="A106" s="41">
        <v>2042</v>
      </c>
      <c r="B106" s="41">
        <v>29</v>
      </c>
      <c r="C106" s="206">
        <f>'2 CARRILES HCM'!C107</f>
        <v>16946.062553713437</v>
      </c>
      <c r="D106" s="206">
        <f>'2 CARRILES HCM'!D107</f>
        <v>1145.2908359205576</v>
      </c>
      <c r="E106" s="206">
        <f>'2 CARRILES HCM'!E107</f>
        <v>1442.2180896777393</v>
      </c>
      <c r="F106" s="206">
        <f>'2 CARRILES HCM'!F107</f>
        <v>424.181791081688</v>
      </c>
      <c r="G106" s="206">
        <f>'2 CARRILES HCM'!G107</f>
        <v>434.78633585873018</v>
      </c>
      <c r="H106" s="206">
        <f>'2 CARRILES HCM'!H107</f>
        <v>212.090895540844</v>
      </c>
      <c r="I106" s="206">
        <f>'2 CARRILES HCM'!I107</f>
        <v>604.45905229140544</v>
      </c>
      <c r="J106" s="207">
        <f t="shared" si="2"/>
        <v>21209.089554084399</v>
      </c>
    </row>
    <row r="107" spans="1:10" x14ac:dyDescent="0.25">
      <c r="A107" s="41">
        <v>2043</v>
      </c>
      <c r="B107" s="41">
        <v>30</v>
      </c>
      <c r="C107" s="206">
        <f>'2 CARRILES HCM'!C108</f>
        <v>17454.444430324838</v>
      </c>
      <c r="D107" s="206">
        <f>'2 CARRILES HCM'!D108</f>
        <v>1179.6495609981744</v>
      </c>
      <c r="E107" s="206">
        <f>'2 CARRILES HCM'!E108</f>
        <v>1485.4846323680713</v>
      </c>
      <c r="F107" s="206">
        <f>'2 CARRILES HCM'!F108</f>
        <v>436.90724481413866</v>
      </c>
      <c r="G107" s="206">
        <f>'2 CARRILES HCM'!G108</f>
        <v>447.82992593449211</v>
      </c>
      <c r="H107" s="206">
        <f>'2 CARRILES HCM'!H108</f>
        <v>218.45362240706933</v>
      </c>
      <c r="I107" s="206">
        <f>'2 CARRILES HCM'!I108</f>
        <v>622.59282386014752</v>
      </c>
      <c r="J107" s="207">
        <f t="shared" si="2"/>
        <v>21845.362240706934</v>
      </c>
    </row>
    <row r="108" spans="1:10" x14ac:dyDescent="0.25">
      <c r="A108" s="41">
        <v>2044</v>
      </c>
      <c r="B108" s="41">
        <v>31</v>
      </c>
      <c r="C108" s="206">
        <f>'2 CARRILES HCM'!C109</f>
        <v>17978.077763234585</v>
      </c>
      <c r="D108" s="206">
        <f>'2 CARRILES HCM'!D109</f>
        <v>1215.0390478281197</v>
      </c>
      <c r="E108" s="206">
        <f>'2 CARRILES HCM'!E109</f>
        <v>1530.0491713391139</v>
      </c>
      <c r="F108" s="206">
        <f>'2 CARRILES HCM'!F109</f>
        <v>450.01446215856288</v>
      </c>
      <c r="G108" s="206">
        <f>'2 CARRILES HCM'!G109</f>
        <v>461.26482371252695</v>
      </c>
      <c r="H108" s="206">
        <f>'2 CARRILES HCM'!H109</f>
        <v>225.00723107928144</v>
      </c>
      <c r="I108" s="206">
        <f>'2 CARRILES HCM'!I109</f>
        <v>641.27060857595211</v>
      </c>
      <c r="J108" s="207">
        <f>SUM(C108:I108)</f>
        <v>22500.723107928145</v>
      </c>
    </row>
    <row r="109" spans="1:10" ht="15.75" thickBot="1" x14ac:dyDescent="0.3">
      <c r="A109" s="41">
        <v>2045</v>
      </c>
      <c r="B109" s="41">
        <v>32</v>
      </c>
      <c r="C109" s="206">
        <f>'2 CARRILES HCM'!C110</f>
        <v>18517.42009613162</v>
      </c>
      <c r="D109" s="206">
        <f>'2 CARRILES HCM'!D110</f>
        <v>1251.4902192629631</v>
      </c>
      <c r="E109" s="206">
        <f>'2 CARRILES HCM'!E110</f>
        <v>1575.9506464792869</v>
      </c>
      <c r="F109" s="206">
        <f>'2 CARRILES HCM'!F110</f>
        <v>463.51489602331969</v>
      </c>
      <c r="G109" s="206">
        <f>'2 CARRILES HCM'!G110</f>
        <v>475.10276842390266</v>
      </c>
      <c r="H109" s="206">
        <f>'2 CARRILES HCM'!H110</f>
        <v>231.75744801165985</v>
      </c>
      <c r="I109" s="206">
        <f>'2 CARRILES HCM'!I110</f>
        <v>660.50872683323053</v>
      </c>
      <c r="J109" s="207">
        <f>SUM(C109:I109)</f>
        <v>23175.744801165984</v>
      </c>
    </row>
    <row r="110" spans="1:10" ht="15.75" thickBot="1" x14ac:dyDescent="0.3">
      <c r="A110" s="70"/>
      <c r="B110" s="71" t="s">
        <v>54</v>
      </c>
      <c r="C110" s="297">
        <f>'2 CARRILES HCM'!C111</f>
        <v>0.03</v>
      </c>
      <c r="D110" s="297">
        <f>'2 CARRILES HCM'!D111</f>
        <v>0.03</v>
      </c>
      <c r="E110" s="297">
        <f>'2 CARRILES HCM'!E111</f>
        <v>0.03</v>
      </c>
      <c r="F110" s="297">
        <f>'2 CARRILES HCM'!F111</f>
        <v>0.03</v>
      </c>
      <c r="G110" s="297">
        <f>'2 CARRILES HCM'!G111</f>
        <v>0.03</v>
      </c>
      <c r="H110" s="297">
        <f>'2 CARRILES HCM'!H111</f>
        <v>0.03</v>
      </c>
      <c r="I110" s="297">
        <f>'2 CARRILES HCM'!I111</f>
        <v>0.03</v>
      </c>
      <c r="J110" s="208">
        <f>SUM(C110:I110)/7</f>
        <v>0.03</v>
      </c>
    </row>
    <row r="114" spans="1:7" x14ac:dyDescent="0.25">
      <c r="A114" t="s">
        <v>424</v>
      </c>
    </row>
    <row r="116" spans="1:7" x14ac:dyDescent="0.25">
      <c r="A116" s="439" t="s">
        <v>425</v>
      </c>
    </row>
    <row r="118" spans="1:7" x14ac:dyDescent="0.25">
      <c r="A118" t="s">
        <v>426</v>
      </c>
      <c r="E118">
        <v>2800</v>
      </c>
      <c r="F118">
        <v>2800</v>
      </c>
      <c r="G118">
        <v>2800</v>
      </c>
    </row>
    <row r="119" spans="1:7" x14ac:dyDescent="0.25">
      <c r="A119" t="s">
        <v>454</v>
      </c>
    </row>
    <row r="120" spans="1:7" x14ac:dyDescent="0.25">
      <c r="A120" t="s">
        <v>437</v>
      </c>
      <c r="E120" s="474" t="str">
        <f>'DATOS DE ENTRADA'!C8</f>
        <v>P</v>
      </c>
      <c r="F120" s="475" t="str">
        <f>'DATOS DE ENTRADA'!C24</f>
        <v>P</v>
      </c>
      <c r="G120" s="476" t="str">
        <f>'DATOS DE ENTRADA'!C8</f>
        <v>P</v>
      </c>
    </row>
    <row r="121" spans="1:7" x14ac:dyDescent="0.25">
      <c r="A121" t="s">
        <v>438</v>
      </c>
      <c r="D121" s="35" t="s">
        <v>19</v>
      </c>
      <c r="E121" s="445">
        <f>'DATOS DE ENTRADA'!C47</f>
        <v>50</v>
      </c>
      <c r="F121" s="445">
        <f>'DATOS DE ENTRADA'!C82</f>
        <v>50</v>
      </c>
      <c r="G121" s="445">
        <f>'DATOS DE ENTRADA'!C117</f>
        <v>50</v>
      </c>
    </row>
    <row r="122" spans="1:7" x14ac:dyDescent="0.25">
      <c r="D122" s="35" t="s">
        <v>46</v>
      </c>
      <c r="E122" s="35">
        <f t="shared" ref="E122:E127" si="3">IF($E$121=0,E198,IF($E$121=10,F198,IF($E$121=20,G198,IF($E$121=30,H198,IF($E$121=40,I198,IF($E$121=50,J198,IF($E$121=60,K198,IF($E$121=70,L198,IF($E$121=80,M198,IF($E$121=90,N198,IF($E$121=100,O198)))))))))))</f>
        <v>0.08</v>
      </c>
      <c r="F122" s="35">
        <f t="shared" ref="F122:F127" si="4">IF($F$121=0,E210,IF($F$121=10,F210,IF($F$121=20,G210,IF($F$121=30,H210,IF($F$121=40,I210,IF($F$121=50,J210,IF($F$121=60,K210,IF($F$121=70,L210,IF($F$121=80,M210,IF($F$121=90,N210,IF($F$121=100,O210)))))))))))</f>
        <v>0.08</v>
      </c>
      <c r="G122" s="35">
        <f t="shared" ref="G122:G127" si="5">IF($G$121=0,E222,IF($G$121=10,F222,IF($G$121=20,G222,IF($G$121=30,H222,IF($G$121=40,I222,IF($G$121=50,J222,IF($G$121=60,K222,IF($G$121=70,L222,IF($G$121=80,M222,IF($G$121=90,N222,IF($G$121=100,O222)))))))))))</f>
        <v>0.08</v>
      </c>
    </row>
    <row r="123" spans="1:7" x14ac:dyDescent="0.25">
      <c r="D123" s="35" t="s">
        <v>47</v>
      </c>
      <c r="E123" s="35">
        <f t="shared" si="3"/>
        <v>0.2</v>
      </c>
      <c r="F123" s="35">
        <f t="shared" si="4"/>
        <v>0.2</v>
      </c>
      <c r="G123" s="35">
        <f t="shared" si="5"/>
        <v>0.2</v>
      </c>
    </row>
    <row r="124" spans="1:7" x14ac:dyDescent="0.25">
      <c r="D124" s="35" t="s">
        <v>144</v>
      </c>
      <c r="E124" s="35">
        <f t="shared" si="3"/>
        <v>0.35</v>
      </c>
      <c r="F124" s="35">
        <f t="shared" si="4"/>
        <v>0.35</v>
      </c>
      <c r="G124" s="35">
        <f t="shared" si="5"/>
        <v>0.35</v>
      </c>
    </row>
    <row r="125" spans="1:7" x14ac:dyDescent="0.25">
      <c r="D125" s="35" t="s">
        <v>145</v>
      </c>
      <c r="E125" s="35">
        <f t="shared" si="3"/>
        <v>0.59499999999999997</v>
      </c>
      <c r="F125" s="35">
        <f t="shared" si="4"/>
        <v>0.59499999999999997</v>
      </c>
      <c r="G125" s="35">
        <f t="shared" si="5"/>
        <v>0.59499999999999997</v>
      </c>
    </row>
    <row r="126" spans="1:7" x14ac:dyDescent="0.25">
      <c r="D126" s="35" t="s">
        <v>146</v>
      </c>
      <c r="E126" s="35">
        <f t="shared" si="3"/>
        <v>1</v>
      </c>
      <c r="F126" s="35">
        <f t="shared" si="4"/>
        <v>1</v>
      </c>
      <c r="G126" s="35">
        <f t="shared" si="5"/>
        <v>1</v>
      </c>
    </row>
    <row r="127" spans="1:7" x14ac:dyDescent="0.25">
      <c r="D127" s="35" t="s">
        <v>418</v>
      </c>
      <c r="E127" s="35">
        <f t="shared" si="3"/>
        <v>0</v>
      </c>
      <c r="F127" s="35">
        <f t="shared" si="4"/>
        <v>0</v>
      </c>
      <c r="G127" s="35">
        <f t="shared" si="5"/>
        <v>0</v>
      </c>
    </row>
    <row r="128" spans="1:7" x14ac:dyDescent="0.25">
      <c r="A128" t="s">
        <v>455</v>
      </c>
      <c r="D128" s="152"/>
      <c r="E128" s="35">
        <f>IF(E129=100,C258,IF(E129=90,C259,IF(E129=80,C260,IF(E129=70,C261,IF(E129=60,C262,IF(E129&lt;=50,C263))))))</f>
        <v>1</v>
      </c>
      <c r="F128" s="35">
        <f>IF(F129=100,C258,IF(F129=90,C259,IF(F129=80,C260,IF(F129=70,C261,IF(F129=60,C262,IF(F129&lt;=50,C263))))))</f>
        <v>1</v>
      </c>
      <c r="G128" s="35">
        <f>IF(G129=100,C258,IF(G129=90,C259,IF(G129=80,C260,IF(G129=70,C261,IF(G129=60,C262,IF(G129&lt;=50,C263))))))</f>
        <v>1</v>
      </c>
    </row>
    <row r="129" spans="1:11" x14ac:dyDescent="0.25">
      <c r="A129" t="s">
        <v>443</v>
      </c>
      <c r="D129" s="152"/>
      <c r="E129" s="35">
        <f>'DATOS DE ENTRADA'!C40</f>
        <v>50</v>
      </c>
      <c r="F129" s="35">
        <f>'DATOS DE ENTRADA'!C75</f>
        <v>50</v>
      </c>
      <c r="G129" s="35">
        <f>'DATOS DE ENTRADA'!C110</f>
        <v>50</v>
      </c>
    </row>
    <row r="130" spans="1:11" x14ac:dyDescent="0.25">
      <c r="A130" t="s">
        <v>448</v>
      </c>
      <c r="F130" s="152"/>
      <c r="G130" s="152"/>
    </row>
    <row r="131" spans="1:11" x14ac:dyDescent="0.25">
      <c r="A131" t="s">
        <v>449</v>
      </c>
      <c r="E131" s="35">
        <f>'DATOS DE ENTRADA'!C45</f>
        <v>3.3</v>
      </c>
      <c r="F131" s="35">
        <f>'DATOS DE ENTRADA'!C80</f>
        <v>3.6</v>
      </c>
      <c r="G131" s="35">
        <f>'DATOS DE ENTRADA'!C115</f>
        <v>3.3</v>
      </c>
    </row>
    <row r="132" spans="1:11" x14ac:dyDescent="0.25">
      <c r="A132" t="s">
        <v>450</v>
      </c>
      <c r="E132" s="35">
        <f>'DATOS DE ENTRADA'!C46</f>
        <v>1</v>
      </c>
      <c r="F132" s="35">
        <f>'DATOS DE ENTRADA'!C81</f>
        <v>1.6</v>
      </c>
      <c r="G132" s="35">
        <f>'DATOS DE ENTRADA'!C116</f>
        <v>1</v>
      </c>
    </row>
    <row r="133" spans="1:11" x14ac:dyDescent="0.25">
      <c r="A133" t="s">
        <v>456</v>
      </c>
      <c r="E133" s="35">
        <v>1</v>
      </c>
      <c r="F133" s="35">
        <v>1</v>
      </c>
      <c r="G133" s="35">
        <v>1</v>
      </c>
    </row>
    <row r="134" spans="1:11" x14ac:dyDescent="0.25">
      <c r="A134" t="s">
        <v>457</v>
      </c>
    </row>
    <row r="135" spans="1:11" x14ac:dyDescent="0.25">
      <c r="A135" t="s">
        <v>458</v>
      </c>
    </row>
    <row r="136" spans="1:11" x14ac:dyDescent="0.25">
      <c r="D136" s="35" t="s">
        <v>46</v>
      </c>
      <c r="E136" s="481">
        <f>'DATOS DE ENTRADA'!C11</f>
        <v>0.79900000000000004</v>
      </c>
      <c r="F136" s="481">
        <f>'DATOS DE ENTRADA'!C26</f>
        <v>0.79900000000000004</v>
      </c>
      <c r="G136" s="481">
        <f>E136</f>
        <v>0.79900000000000004</v>
      </c>
    </row>
    <row r="137" spans="1:11" x14ac:dyDescent="0.25">
      <c r="D137" s="35" t="s">
        <v>47</v>
      </c>
      <c r="E137" s="481">
        <f>'DATOS DE ENTRADA'!C12</f>
        <v>5.3999999999999999E-2</v>
      </c>
      <c r="F137" s="481">
        <f>'DATOS DE ENTRADA'!C27</f>
        <v>5.3999999999999999E-2</v>
      </c>
      <c r="G137" s="481">
        <f>E137</f>
        <v>5.3999999999999999E-2</v>
      </c>
    </row>
    <row r="138" spans="1:11" x14ac:dyDescent="0.25">
      <c r="D138" s="35" t="s">
        <v>144</v>
      </c>
      <c r="E138" s="481">
        <f>SUM('DATOS DE ENTRADA'!C13:C17)</f>
        <v>0.14700000000000002</v>
      </c>
      <c r="F138" s="481">
        <f>SUM('DATOS DE ENTRADA'!C28:C32)/5</f>
        <v>2.9400000000000003E-2</v>
      </c>
      <c r="G138" s="481">
        <f>E138</f>
        <v>0.14700000000000002</v>
      </c>
    </row>
    <row r="139" spans="1:11" x14ac:dyDescent="0.25">
      <c r="D139" s="35" t="s">
        <v>459</v>
      </c>
      <c r="E139" s="481">
        <f>'DATOS DE ENTRADA'!C42</f>
        <v>0.05</v>
      </c>
      <c r="F139" s="481">
        <f>'DATOS DE ENTRADA'!C77</f>
        <v>0.05</v>
      </c>
      <c r="G139" s="481">
        <f>'DATOS DE ENTRADA'!C112</f>
        <v>0.05</v>
      </c>
    </row>
    <row r="141" spans="1:11" x14ac:dyDescent="0.25">
      <c r="A141" t="s">
        <v>473</v>
      </c>
    </row>
    <row r="142" spans="1:11" x14ac:dyDescent="0.25">
      <c r="A142" s="35" t="s">
        <v>19</v>
      </c>
      <c r="B142" s="95" t="s">
        <v>144</v>
      </c>
      <c r="C142" s="35" t="s">
        <v>408</v>
      </c>
      <c r="D142" s="435" t="s">
        <v>474</v>
      </c>
      <c r="E142" s="95" t="s">
        <v>257</v>
      </c>
      <c r="F142" s="95" t="s">
        <v>475</v>
      </c>
      <c r="G142" s="105" t="s">
        <v>468</v>
      </c>
      <c r="H142" s="105" t="s">
        <v>469</v>
      </c>
      <c r="I142" s="105" t="s">
        <v>470</v>
      </c>
      <c r="J142" s="35" t="s">
        <v>471</v>
      </c>
      <c r="K142" s="435" t="s">
        <v>472</v>
      </c>
    </row>
    <row r="143" spans="1:11" x14ac:dyDescent="0.25">
      <c r="A143" s="35" t="s">
        <v>46</v>
      </c>
      <c r="B143" s="95">
        <v>2800</v>
      </c>
      <c r="C143" s="35">
        <f>E122</f>
        <v>0.08</v>
      </c>
      <c r="D143" s="95">
        <f>E128</f>
        <v>1</v>
      </c>
      <c r="E143" s="95">
        <f>IF(A143="E",$C$286,$B$286)</f>
        <v>0.85</v>
      </c>
      <c r="F143" s="95">
        <f>E133</f>
        <v>1</v>
      </c>
      <c r="G143" s="104">
        <f>IF(A143="A",$C$301,IF(A143="B",$C$302,IF(A143="C",$C$302,IF(A143="D",$C$303,IF(A143="E",$C$303)))))</f>
        <v>2</v>
      </c>
      <c r="H143" s="104">
        <f>IF(A143="A",$C$304,IF(A143="B",$C$305,IF(A143="C",$C$305,IF(A143="D",$C$306,IF(A143="E",$C$306)))))</f>
        <v>2.2000000000000002</v>
      </c>
      <c r="I143" s="104">
        <f>IF(A143="A",$C$307,IF(A143="B",$C$308,IF(A143="C",$C$308,IF(A143="D",$C$309,IF(A143="E",$C$309)))))</f>
        <v>1.8</v>
      </c>
      <c r="J143" s="203">
        <f>1/($E$136+($E$137*I143)+($E$138*G143)+(H143*$E$139))</f>
        <v>0.76911244423934777</v>
      </c>
      <c r="K143" s="200">
        <f>B143*C143*D143*E143*J143</f>
        <v>146.43900938317182</v>
      </c>
    </row>
    <row r="144" spans="1:11" x14ac:dyDescent="0.25">
      <c r="A144" s="35" t="s">
        <v>47</v>
      </c>
      <c r="B144" s="95">
        <v>2800</v>
      </c>
      <c r="C144" s="35">
        <f>E123</f>
        <v>0.2</v>
      </c>
      <c r="D144" s="95">
        <f>D143</f>
        <v>1</v>
      </c>
      <c r="E144" s="95">
        <f>IF(A144="E",$C$286,$B$286)</f>
        <v>0.85</v>
      </c>
      <c r="F144" s="95">
        <f>F143</f>
        <v>1</v>
      </c>
      <c r="G144" s="104">
        <f>IF(A144="A",$C$301,IF(A144="B",$C$302,IF(A144="C",$C$302,IF(A144="D",$C$303,IF(A144="E",$C$303)))))</f>
        <v>2.2000000000000002</v>
      </c>
      <c r="H144" s="104">
        <f>IF(A144="A",$C$304,IF(A144="B",$C$305,IF(A144="C",$C$305,IF(A144="D",$C$306,IF(A144="E",$C$306)))))</f>
        <v>2.5</v>
      </c>
      <c r="I144" s="104">
        <f>IF(A144="A",$C$307,IF(A144="B",$C$308,IF(A144="C",$C$308,IF(A144="D",$C$309,IF(A144="E",$C$309)))))</f>
        <v>2</v>
      </c>
      <c r="J144" s="203">
        <f>1/($E$136+($E$137*I144)+($E$138*G144)+(H144*$E$139))</f>
        <v>0.73778958241109627</v>
      </c>
      <c r="K144" s="200">
        <f>B144*C144*D144*E144*J144</f>
        <v>351.18784122768182</v>
      </c>
    </row>
    <row r="145" spans="1:11" x14ac:dyDescent="0.25">
      <c r="A145" s="35" t="s">
        <v>144</v>
      </c>
      <c r="B145" s="95">
        <v>2800</v>
      </c>
      <c r="C145" s="35">
        <f>E124</f>
        <v>0.35</v>
      </c>
      <c r="D145" s="95">
        <f>D144</f>
        <v>1</v>
      </c>
      <c r="E145" s="95">
        <f>IF(A145="E",$C$286,$B$286)</f>
        <v>0.85</v>
      </c>
      <c r="F145" s="95">
        <f>F144</f>
        <v>1</v>
      </c>
      <c r="G145" s="104">
        <f>IF(A145="A",$C$301,IF(A145="B",$C$302,IF(A145="C",$C$302,IF(A145="D",$C$303,IF(A145="E",$C$303)))))</f>
        <v>2.2000000000000002</v>
      </c>
      <c r="H145" s="104">
        <f>IF(A145="A",$C$304,IF(A145="B",$C$305,IF(A145="C",$C$305,IF(A145="D",$C$306,IF(A145="E",$C$306)))))</f>
        <v>2.5</v>
      </c>
      <c r="I145" s="104">
        <f>IF(A145="A",$C$307,IF(A145="B",$C$308,IF(A145="C",$C$308,IF(A145="D",$C$309,IF(A145="E",$C$309)))))</f>
        <v>2</v>
      </c>
      <c r="J145" s="203">
        <f>1/($E$136+($E$137*I145)+($E$138*G145)+(H145*$E$139))</f>
        <v>0.73778958241109627</v>
      </c>
      <c r="K145" s="200">
        <f>B145*C145*D145*E145*J145</f>
        <v>614.57872214844315</v>
      </c>
    </row>
    <row r="146" spans="1:11" x14ac:dyDescent="0.25">
      <c r="A146" s="35" t="s">
        <v>145</v>
      </c>
      <c r="B146" s="95">
        <v>2800</v>
      </c>
      <c r="C146" s="35">
        <f>E125</f>
        <v>0.59499999999999997</v>
      </c>
      <c r="D146" s="95">
        <f>D145</f>
        <v>1</v>
      </c>
      <c r="E146" s="95">
        <f>IF(A146="E",$C$286,$B$286)</f>
        <v>0.85</v>
      </c>
      <c r="F146" s="95">
        <f>F145</f>
        <v>1</v>
      </c>
      <c r="G146" s="104">
        <f>IF(A146="A",$C$301,IF(A146="B",$C$302,IF(A146="C",$C$302,IF(A146="D",$C$303,IF(A146="E",$C$303)))))</f>
        <v>2</v>
      </c>
      <c r="H146" s="104">
        <f>IF(A146="A",$C$304,IF(A146="B",$C$305,IF(A146="C",$C$305,IF(A146="D",$C$306,IF(A146="E",$C$306)))))</f>
        <v>1.6</v>
      </c>
      <c r="I146" s="104">
        <f>IF(A146="A",$C$307,IF(A146="B",$C$308,IF(A146="C",$C$308,IF(A146="D",$C$309,IF(A146="E",$C$309)))))</f>
        <v>1.6</v>
      </c>
      <c r="J146" s="203">
        <f>1/($E$136+($E$137*I146)+($E$138*G146)+(H146*$E$139))</f>
        <v>0.79402890265205639</v>
      </c>
      <c r="K146" s="200">
        <f>B146*C146*D146*E146*J146</f>
        <v>1124.424329045577</v>
      </c>
    </row>
    <row r="147" spans="1:11" x14ac:dyDescent="0.25">
      <c r="A147" s="35" t="s">
        <v>146</v>
      </c>
      <c r="B147" s="95">
        <v>2800</v>
      </c>
      <c r="C147" s="35">
        <f>E126</f>
        <v>1</v>
      </c>
      <c r="D147" s="95">
        <f>D146</f>
        <v>1</v>
      </c>
      <c r="E147" s="95">
        <f>IF(A147="E",$C$286,$B$286)</f>
        <v>0.92</v>
      </c>
      <c r="F147" s="95">
        <f>F146</f>
        <v>1</v>
      </c>
      <c r="G147" s="104">
        <f>IF(A147="A",$C$301,IF(A147="B",$C$302,IF(A147="C",$C$302,IF(A147="D",$C$303,IF(A147="E",$C$303)))))</f>
        <v>2</v>
      </c>
      <c r="H147" s="104">
        <f>IF(A147="A",$C$304,IF(A147="B",$C$305,IF(A147="C",$C$305,IF(A147="D",$C$306,IF(A147="E",$C$306)))))</f>
        <v>1.6</v>
      </c>
      <c r="I147" s="104">
        <f>IF(A147="A",$C$307,IF(A147="B",$C$308,IF(A147="C",$C$308,IF(A147="D",$C$309,IF(A147="E",$C$309)))))</f>
        <v>1.6</v>
      </c>
      <c r="J147" s="203">
        <f>1/($E$136+($E$137*I147)+($E$138*G147)+(H147*$E$139))</f>
        <v>0.79402890265205639</v>
      </c>
      <c r="K147" s="200">
        <f>B147*C147*D147*E147*J147</f>
        <v>2045.4184532316972</v>
      </c>
    </row>
    <row r="148" spans="1:11" x14ac:dyDescent="0.25">
      <c r="A148" s="152"/>
      <c r="B148" s="108"/>
      <c r="C148" s="152"/>
      <c r="D148" s="108"/>
      <c r="E148" s="108"/>
      <c r="F148" s="108"/>
      <c r="G148" s="108"/>
      <c r="H148" s="108"/>
      <c r="I148" s="108"/>
    </row>
    <row r="149" spans="1:11" x14ac:dyDescent="0.25">
      <c r="A149" s="152" t="s">
        <v>13</v>
      </c>
      <c r="B149" s="108"/>
      <c r="C149" s="152"/>
      <c r="D149" s="108"/>
      <c r="E149" s="108"/>
      <c r="F149" s="108"/>
      <c r="G149" s="108"/>
      <c r="H149" s="108"/>
      <c r="I149" s="108"/>
    </row>
    <row r="150" spans="1:11" x14ac:dyDescent="0.25">
      <c r="A150" s="35" t="s">
        <v>19</v>
      </c>
      <c r="B150" s="95" t="s">
        <v>144</v>
      </c>
      <c r="C150" s="35" t="s">
        <v>408</v>
      </c>
      <c r="D150" s="435" t="s">
        <v>474</v>
      </c>
      <c r="E150" s="95" t="s">
        <v>257</v>
      </c>
      <c r="F150" s="95" t="s">
        <v>475</v>
      </c>
      <c r="G150" s="105" t="s">
        <v>468</v>
      </c>
      <c r="H150" s="105" t="s">
        <v>469</v>
      </c>
      <c r="I150" s="105" t="s">
        <v>470</v>
      </c>
      <c r="J150" s="35" t="s">
        <v>471</v>
      </c>
      <c r="K150" s="435" t="s">
        <v>472</v>
      </c>
    </row>
    <row r="151" spans="1:11" x14ac:dyDescent="0.25">
      <c r="A151" s="35" t="s">
        <v>46</v>
      </c>
      <c r="B151" s="95">
        <v>2800</v>
      </c>
      <c r="C151" s="35">
        <f>F122</f>
        <v>0.08</v>
      </c>
      <c r="D151" s="95">
        <f>F128</f>
        <v>1</v>
      </c>
      <c r="E151" s="95">
        <f>IF(A151="E",$F$286,$E$286)</f>
        <v>1</v>
      </c>
      <c r="F151" s="95">
        <f>F133</f>
        <v>1</v>
      </c>
      <c r="G151" s="105">
        <f>IF(A151="A",$F$301,IF(A151="B",$F$302,IF(A151="C",$F$302,IF(A151="D",$F$303,IF(A151="E",$F$303)))))</f>
        <v>2</v>
      </c>
      <c r="H151" s="105">
        <f>IF(A151="A",$F$304,IF(A151="B",$F$305,IF(A151="C",$F$305,IF(A151="D",$F$306,IF(A151="E",$F$306)))))</f>
        <v>2.2000000000000002</v>
      </c>
      <c r="I151" s="105">
        <f>IF(A151="A",$F$307,IF(A151="B",$F$308,IF(A151="C",$F$308,IF(A151="D",$F$309,IF(A151="E",$F$309)))))</f>
        <v>1.8</v>
      </c>
      <c r="J151" s="203">
        <f>1/($F$136+($F$137*I151)+($F$138*G151)+(H151*$F$139))</f>
        <v>0.93896713615023475</v>
      </c>
      <c r="K151" s="200">
        <f>B151*C151*D151*E151*J151</f>
        <v>210.32863849765258</v>
      </c>
    </row>
    <row r="152" spans="1:11" x14ac:dyDescent="0.25">
      <c r="A152" s="35" t="s">
        <v>47</v>
      </c>
      <c r="B152" s="95">
        <v>2800</v>
      </c>
      <c r="C152" s="35">
        <f>F123</f>
        <v>0.2</v>
      </c>
      <c r="D152" s="95">
        <f>D151</f>
        <v>1</v>
      </c>
      <c r="E152" s="95">
        <f>IF(A152="E",$F$286,$E$286)</f>
        <v>1</v>
      </c>
      <c r="F152" s="95">
        <f>F151</f>
        <v>1</v>
      </c>
      <c r="G152" s="105">
        <f>IF(A152="A",$F$301,IF(A152="B",$F$302,IF(A152="C",$F$302,IF(A152="D",$F$303,IF(A152="E",$F$303)))))</f>
        <v>2.2000000000000002</v>
      </c>
      <c r="H152" s="105">
        <f>IF(A152="A",$F$304,IF(A152="B",$F$305,IF(A152="C",$F$305,IF(A152="D",$F$306,IF(A152="E",$F$306)))))</f>
        <v>2.5</v>
      </c>
      <c r="I152" s="105">
        <f>IF(A152="A",$F$307,IF(A152="B",$F$308,IF(A152="C",$F$308,IF(A152="D",$F$309,IF(A152="E",$F$309)))))</f>
        <v>2</v>
      </c>
      <c r="J152" s="203">
        <f>1/($F$136+($F$137*I152)+($F$138*G152)+(H152*$F$139))</f>
        <v>0.91184301710617488</v>
      </c>
      <c r="K152" s="200">
        <f>B152*C152*D152*E152*J152</f>
        <v>510.63208957945795</v>
      </c>
    </row>
    <row r="153" spans="1:11" x14ac:dyDescent="0.25">
      <c r="A153" s="35" t="s">
        <v>144</v>
      </c>
      <c r="B153" s="95">
        <v>2800</v>
      </c>
      <c r="C153" s="35">
        <f>F124</f>
        <v>0.35</v>
      </c>
      <c r="D153" s="95">
        <f>D152</f>
        <v>1</v>
      </c>
      <c r="E153" s="95">
        <f>IF(A153="E",$F$286,$E$286)</f>
        <v>1</v>
      </c>
      <c r="F153" s="95">
        <f>F152</f>
        <v>1</v>
      </c>
      <c r="G153" s="105">
        <f>IF(A153="A",$F$301,IF(A153="B",$F$302,IF(A153="C",$F$302,IF(A153="D",$F$303,IF(A153="E",$F$303)))))</f>
        <v>2.2000000000000002</v>
      </c>
      <c r="H153" s="105">
        <f>IF(A153="A",$F$304,IF(A153="B",$F$305,IF(A153="C",$F$305,IF(A153="D",$F$306,IF(A153="E",$F$306)))))</f>
        <v>2.5</v>
      </c>
      <c r="I153" s="105">
        <f>IF(A153="A",$F$307,IF(A153="B",$F$308,IF(A153="C",$F$308,IF(A153="D",$F$309,IF(A153="E",$F$309)))))</f>
        <v>2</v>
      </c>
      <c r="J153" s="203">
        <f>1/($F$136+($F$137*I153)+($F$138*G153)+(H153*$F$139))</f>
        <v>0.91184301710617488</v>
      </c>
      <c r="K153" s="200">
        <f>B153*C153*D153*E153*J153</f>
        <v>893.60615676405132</v>
      </c>
    </row>
    <row r="154" spans="1:11" x14ac:dyDescent="0.25">
      <c r="A154" s="35" t="s">
        <v>145</v>
      </c>
      <c r="B154" s="95">
        <v>2800</v>
      </c>
      <c r="C154" s="35">
        <f>F125</f>
        <v>0.59499999999999997</v>
      </c>
      <c r="D154" s="95">
        <f>D153</f>
        <v>1</v>
      </c>
      <c r="E154" s="95">
        <f>IF(A154="E",$F$286,$E$286)</f>
        <v>1</v>
      </c>
      <c r="F154" s="95">
        <f>F153</f>
        <v>1</v>
      </c>
      <c r="G154" s="105">
        <f>IF(A154="A",$F$301,IF(A154="B",$F$302,IF(A154="C",$F$302,IF(A154="D",$F$303,IF(A154="E",$F$303)))))</f>
        <v>2</v>
      </c>
      <c r="H154" s="105">
        <f>IF(A154="A",$F$304,IF(A154="B",$F$305,IF(A154="C",$F$305,IF(A154="D",$F$306,IF(A154="E",$F$306)))))</f>
        <v>1.6</v>
      </c>
      <c r="I154" s="105">
        <f>IF(A154="A",$F$307,IF(A154="B",$F$308,IF(A154="C",$F$308,IF(A154="D",$F$309,IF(A154="E",$F$309)))))</f>
        <v>1.6</v>
      </c>
      <c r="J154" s="203">
        <f>1/($F$136+($F$137*I154)+($F$138*G154)+(H154*$F$139))</f>
        <v>0.97637180238234722</v>
      </c>
      <c r="K154" s="200">
        <f>B154*C154*D154*E154*J154</f>
        <v>1626.6354227689906</v>
      </c>
    </row>
    <row r="155" spans="1:11" x14ac:dyDescent="0.25">
      <c r="A155" s="35" t="s">
        <v>146</v>
      </c>
      <c r="B155" s="95">
        <v>2800</v>
      </c>
      <c r="C155" s="35">
        <f>F126</f>
        <v>1</v>
      </c>
      <c r="D155" s="95">
        <f>D154</f>
        <v>1</v>
      </c>
      <c r="E155" s="95">
        <f>IF(A155="E",$F$286,$E$286)</f>
        <v>1</v>
      </c>
      <c r="F155" s="95">
        <f>F154</f>
        <v>1</v>
      </c>
      <c r="G155" s="105">
        <f>IF(A155="A",$F$301,IF(A155="B",$F$302,IF(A155="C",$F$302,IF(A155="D",$F$303,IF(A155="E",$F$303)))))</f>
        <v>2</v>
      </c>
      <c r="H155" s="105">
        <f>IF(A155="A",$F$304,IF(A155="B",$F$305,IF(A155="C",$F$305,IF(A155="D",$F$306,IF(A155="E",$F$306)))))</f>
        <v>1.6</v>
      </c>
      <c r="I155" s="105">
        <f>IF(A155="A",$F$307,IF(A155="B",$F$308,IF(A155="C",$F$308,IF(A155="D",$F$309,IF(A155="E",$F$309)))))</f>
        <v>1.6</v>
      </c>
      <c r="J155" s="203">
        <f>1/($F$136+($F$137*I155)+($F$138*G155)+(H155*$F$139))</f>
        <v>0.97637180238234722</v>
      </c>
      <c r="K155" s="200">
        <f>B155*C155*D155*E155*J155</f>
        <v>2733.8410466705723</v>
      </c>
    </row>
    <row r="157" spans="1:11" x14ac:dyDescent="0.25">
      <c r="A157" s="152" t="s">
        <v>44</v>
      </c>
      <c r="B157" s="108"/>
      <c r="C157" s="152"/>
      <c r="D157" s="108"/>
      <c r="E157" s="108"/>
      <c r="F157" s="108"/>
      <c r="G157" s="108"/>
      <c r="H157" s="108"/>
      <c r="I157" s="108"/>
    </row>
    <row r="158" spans="1:11" x14ac:dyDescent="0.25">
      <c r="A158" s="35" t="s">
        <v>19</v>
      </c>
      <c r="B158" s="95" t="s">
        <v>144</v>
      </c>
      <c r="C158" s="35" t="s">
        <v>408</v>
      </c>
      <c r="D158" s="435" t="s">
        <v>474</v>
      </c>
      <c r="E158" s="95" t="s">
        <v>257</v>
      </c>
      <c r="F158" s="95" t="s">
        <v>475</v>
      </c>
      <c r="G158" s="105" t="s">
        <v>468</v>
      </c>
      <c r="H158" s="105" t="s">
        <v>469</v>
      </c>
      <c r="I158" s="105" t="s">
        <v>470</v>
      </c>
      <c r="J158" s="35" t="s">
        <v>471</v>
      </c>
      <c r="K158" s="435" t="s">
        <v>472</v>
      </c>
    </row>
    <row r="159" spans="1:11" x14ac:dyDescent="0.25">
      <c r="A159" s="35" t="s">
        <v>46</v>
      </c>
      <c r="B159" s="95">
        <v>2800</v>
      </c>
      <c r="C159" s="35">
        <f>G122</f>
        <v>0.08</v>
      </c>
      <c r="D159" s="95">
        <f>G128</f>
        <v>1</v>
      </c>
      <c r="E159" s="95">
        <f>IF(A159="E",$I$286,$H$286)</f>
        <v>0.85</v>
      </c>
      <c r="F159" s="95">
        <f>G133</f>
        <v>1</v>
      </c>
      <c r="G159" s="105">
        <f>IF(A159="A",$I$301,IF(A159="B",$I$302,IF(A159="C",$I$303,IF(A159="D",$I$303,IF(A159="E",$I$303)))))</f>
        <v>2</v>
      </c>
      <c r="H159" s="105">
        <f>IF(A159="A",$I$304,IF(A159="B",$I$305,IF(A159="C",$I$305,IF(A159="D",$I$306,IF(A159="E",$I$306)))))</f>
        <v>2.2000000000000002</v>
      </c>
      <c r="I159" s="105">
        <f>IF(A159="A",$I$307,IF(A159="B",$I$308,IF(A159="C",$I$308,IF(A159="D",$I$309,IF(A159="E",$I$309)))))</f>
        <v>1.8</v>
      </c>
      <c r="J159" s="203">
        <f>1/($G$136+($G$137*I159)+($G$138*G159)+(H159*$G$139))</f>
        <v>0.76911244423934777</v>
      </c>
      <c r="K159" s="200">
        <f>B159*C159*D159*E159*J159</f>
        <v>146.43900938317182</v>
      </c>
    </row>
    <row r="160" spans="1:11" x14ac:dyDescent="0.25">
      <c r="A160" s="35" t="s">
        <v>47</v>
      </c>
      <c r="B160" s="95">
        <v>2800</v>
      </c>
      <c r="C160" s="35">
        <f>G123</f>
        <v>0.2</v>
      </c>
      <c r="D160" s="95">
        <f>D159</f>
        <v>1</v>
      </c>
      <c r="E160" s="95">
        <f>IF(A160="E",$I$286,$H$286)</f>
        <v>0.85</v>
      </c>
      <c r="F160" s="95">
        <f>F159</f>
        <v>1</v>
      </c>
      <c r="G160" s="105">
        <f>IF(A160="A",$I$301,IF(A160="B",$I$302,IF(A160="C",$I$303,IF(A160="D",$I$303,IF(A160="E",$I$303)))))</f>
        <v>2.2000000000000002</v>
      </c>
      <c r="H160" s="105">
        <f>IF(A160="A",$I$304,IF(A160="B",$I$305,IF(A160="C",$I$305,IF(A160="D",$I$306,IF(A160="E",$I$306)))))</f>
        <v>2.5</v>
      </c>
      <c r="I160" s="105">
        <f>IF(A160="A",$I$307,IF(A160="B",$I$308,IF(A160="C",$I$308,IF(A160="D",$I$309,IF(A160="E",$I$309)))))</f>
        <v>2</v>
      </c>
      <c r="J160" s="203">
        <f>1/($G$136+($G$137*I160)+($G$138*G160)+(H160*$G$139))</f>
        <v>0.73778958241109627</v>
      </c>
      <c r="K160" s="200">
        <f>B160*C160*D160*E160*J160</f>
        <v>351.18784122768182</v>
      </c>
    </row>
    <row r="161" spans="1:15" x14ac:dyDescent="0.25">
      <c r="A161" s="35" t="s">
        <v>144</v>
      </c>
      <c r="B161" s="95">
        <v>2800</v>
      </c>
      <c r="C161" s="35">
        <f>G124</f>
        <v>0.35</v>
      </c>
      <c r="D161" s="95">
        <f>D160</f>
        <v>1</v>
      </c>
      <c r="E161" s="95">
        <f>IF(A161="E",$I$286,$H$286)</f>
        <v>0.85</v>
      </c>
      <c r="F161" s="95">
        <f>F160</f>
        <v>1</v>
      </c>
      <c r="G161" s="105">
        <f>IF(A161="A",$I$301,IF(A161="B",$I$302,IF(A161="C",$I$303,IF(A161="D",$I$303,IF(A161="E",$I$303)))))</f>
        <v>2</v>
      </c>
      <c r="H161" s="105">
        <f>IF(A161="A",$I$304,IF(A161="B",$I$305,IF(A161="C",$I$305,IF(A161="D",$I$306,IF(A161="E",$I$306)))))</f>
        <v>2.5</v>
      </c>
      <c r="I161" s="105">
        <f>IF(A161="A",$I$307,IF(A161="B",$I$308,IF(A161="C",$I$308,IF(A161="D",$I$309,IF(A161="E",$I$309)))))</f>
        <v>2</v>
      </c>
      <c r="J161" s="203">
        <f>1/($G$136+($G$137*I161)+($G$138*G161)+(H161*$G$139))</f>
        <v>0.75414781297134237</v>
      </c>
      <c r="K161" s="200">
        <f>B161*C161*D161*E161*J161</f>
        <v>628.20512820512806</v>
      </c>
    </row>
    <row r="162" spans="1:15" x14ac:dyDescent="0.25">
      <c r="A162" s="35" t="s">
        <v>145</v>
      </c>
      <c r="B162" s="95">
        <v>2800</v>
      </c>
      <c r="C162" s="35">
        <f>G125</f>
        <v>0.59499999999999997</v>
      </c>
      <c r="D162" s="95">
        <f>D161</f>
        <v>1</v>
      </c>
      <c r="E162" s="95">
        <f>IF(A162="E",$I$286,$H$286)</f>
        <v>0.85</v>
      </c>
      <c r="F162" s="95">
        <f>F161</f>
        <v>1</v>
      </c>
      <c r="G162" s="105">
        <f>IF(A162="A",$I$301,IF(A162="B",$I$302,IF(A162="C",$I$303,IF(A162="D",$I$303,IF(A162="E",$I$303)))))</f>
        <v>2</v>
      </c>
      <c r="H162" s="105">
        <f>IF(A162="A",$I$304,IF(A162="B",$I$305,IF(A162="C",$I$305,IF(A162="D",$I$306,IF(A162="E",$I$306)))))</f>
        <v>1.6</v>
      </c>
      <c r="I162" s="105">
        <f>IF(A162="A",$I$307,IF(A162="B",$I$308,IF(A162="C",$I$308,IF(A162="D",$I$309,IF(A162="E",$I$309)))))</f>
        <v>1.6</v>
      </c>
      <c r="J162" s="203">
        <f>1/($G$136+($G$137*I162)+($G$138*G162)+(H162*$G$139))</f>
        <v>0.79402890265205639</v>
      </c>
      <c r="K162" s="200">
        <f>B162*C162*D162*E162*J162</f>
        <v>1124.424329045577</v>
      </c>
    </row>
    <row r="163" spans="1:15" x14ac:dyDescent="0.25">
      <c r="A163" s="35" t="s">
        <v>146</v>
      </c>
      <c r="B163" s="95">
        <v>2800</v>
      </c>
      <c r="C163" s="35">
        <f>G126</f>
        <v>1</v>
      </c>
      <c r="D163" s="95">
        <f>D162</f>
        <v>1</v>
      </c>
      <c r="E163" s="95">
        <f>IF(A163="E",$I$286,$H$286)</f>
        <v>0.92</v>
      </c>
      <c r="F163" s="95">
        <f>F162</f>
        <v>1</v>
      </c>
      <c r="G163" s="105">
        <f>IF(A163="A",$I$301,IF(A163="B",$I$302,IF(A163="C",$I$303,IF(A163="D",$I$303,IF(A163="E",$I$303)))))</f>
        <v>2</v>
      </c>
      <c r="H163" s="105">
        <f>IF(A163="A",$I$304,IF(A163="B",$I$305,IF(A163="C",$I$305,IF(A163="D",$I$306,IF(A163="E",$I$306)))))</f>
        <v>1.6</v>
      </c>
      <c r="I163" s="105">
        <f>IF(A163="A",$I$307,IF(A163="B",$I$308,IF(A163="C",$I$308,IF(A163="D",$I$309,IF(A163="E",$I$309)))))</f>
        <v>1.6</v>
      </c>
      <c r="J163" s="203">
        <f>1/($G$136+($G$137*I163)+($G$138*G163)+(H163*$G$139))</f>
        <v>0.79402890265205639</v>
      </c>
      <c r="K163" s="200">
        <f>B163*C163*D163*E163*J163</f>
        <v>2045.4184532316972</v>
      </c>
    </row>
    <row r="164" spans="1:15" x14ac:dyDescent="0.25">
      <c r="D164" s="152"/>
      <c r="E164" s="152"/>
      <c r="F164" s="152"/>
      <c r="G164" s="152"/>
    </row>
    <row r="165" spans="1:15" x14ac:dyDescent="0.25">
      <c r="D165" s="152"/>
      <c r="E165" s="152"/>
      <c r="F165" s="152"/>
      <c r="G165" s="152"/>
    </row>
    <row r="167" spans="1:15" x14ac:dyDescent="0.25">
      <c r="A167" s="440"/>
      <c r="B167" s="441"/>
      <c r="C167" s="441"/>
      <c r="D167" s="441"/>
      <c r="E167" s="590" t="s">
        <v>427</v>
      </c>
      <c r="F167" s="591"/>
      <c r="G167" s="591"/>
      <c r="H167" s="591"/>
      <c r="I167" s="591"/>
      <c r="J167" s="592"/>
    </row>
    <row r="168" spans="1:15" x14ac:dyDescent="0.25">
      <c r="A168" s="442" t="s">
        <v>428</v>
      </c>
      <c r="B168" s="443"/>
      <c r="C168" s="443"/>
      <c r="D168" s="443"/>
      <c r="E168" s="480" t="s">
        <v>429</v>
      </c>
      <c r="F168" s="152"/>
      <c r="G168" s="152"/>
      <c r="H168" s="152"/>
      <c r="I168" s="152"/>
      <c r="J168" s="455"/>
    </row>
    <row r="169" spans="1:15" x14ac:dyDescent="0.25">
      <c r="A169" s="442" t="s">
        <v>430</v>
      </c>
      <c r="B169" s="443" t="s">
        <v>19</v>
      </c>
      <c r="C169" s="443" t="s">
        <v>431</v>
      </c>
      <c r="D169" s="443" t="s">
        <v>218</v>
      </c>
      <c r="E169" s="442" t="s">
        <v>432</v>
      </c>
      <c r="F169" s="152"/>
      <c r="G169" s="152"/>
      <c r="H169" s="152"/>
      <c r="I169" s="152"/>
      <c r="J169" s="455"/>
    </row>
    <row r="170" spans="1:15" x14ac:dyDescent="0.25">
      <c r="A170" s="444" t="s">
        <v>433</v>
      </c>
      <c r="B170" s="445"/>
      <c r="C170" s="445" t="s">
        <v>434</v>
      </c>
      <c r="D170" s="445" t="s">
        <v>435</v>
      </c>
      <c r="E170" s="461">
        <v>0</v>
      </c>
      <c r="F170" s="462">
        <v>10</v>
      </c>
      <c r="G170" s="462">
        <v>20</v>
      </c>
      <c r="H170" s="462">
        <v>30</v>
      </c>
      <c r="I170" s="462">
        <v>40</v>
      </c>
      <c r="J170" s="462">
        <v>50</v>
      </c>
      <c r="K170" s="462">
        <v>60</v>
      </c>
      <c r="L170" s="462">
        <v>70</v>
      </c>
      <c r="M170" s="462">
        <v>80</v>
      </c>
      <c r="N170" s="462">
        <v>90</v>
      </c>
      <c r="O170" s="463">
        <v>100</v>
      </c>
    </row>
    <row r="171" spans="1:15" x14ac:dyDescent="0.25">
      <c r="A171" s="446"/>
      <c r="B171" s="153"/>
      <c r="C171" s="153"/>
      <c r="D171" s="441"/>
      <c r="E171" s="446"/>
      <c r="F171" s="447"/>
      <c r="G171" s="447"/>
      <c r="H171" s="447"/>
      <c r="I171" s="447"/>
      <c r="J171" s="447"/>
      <c r="K171" s="447"/>
      <c r="L171" s="447"/>
      <c r="M171" s="447"/>
      <c r="N171" s="447"/>
      <c r="O171" s="448"/>
    </row>
    <row r="172" spans="1:15" x14ac:dyDescent="0.25">
      <c r="A172" s="385"/>
      <c r="B172" s="443" t="s">
        <v>46</v>
      </c>
      <c r="C172" s="443">
        <v>30</v>
      </c>
      <c r="D172" s="443">
        <v>93</v>
      </c>
      <c r="E172" s="453">
        <v>0.15</v>
      </c>
      <c r="F172" s="449">
        <f>(G172+E172)/2</f>
        <v>0.13500000000000001</v>
      </c>
      <c r="G172" s="449">
        <v>0.12</v>
      </c>
      <c r="H172" s="449">
        <f>(I172+G172)/2</f>
        <v>0.105</v>
      </c>
      <c r="I172" s="449">
        <v>0.09</v>
      </c>
      <c r="J172" s="449">
        <f>(K172+I172)/2</f>
        <v>0.08</v>
      </c>
      <c r="K172" s="449">
        <v>7.0000000000000007E-2</v>
      </c>
      <c r="L172" s="449">
        <f>(M172+K172)/2</f>
        <v>6.0000000000000005E-2</v>
      </c>
      <c r="M172" s="449">
        <v>0.05</v>
      </c>
      <c r="N172" s="449">
        <f>(O172+M172)/2</f>
        <v>4.4999999999999998E-2</v>
      </c>
      <c r="O172" s="450">
        <v>0.04</v>
      </c>
    </row>
    <row r="173" spans="1:15" x14ac:dyDescent="0.25">
      <c r="A173" s="385"/>
      <c r="B173" s="443" t="s">
        <v>47</v>
      </c>
      <c r="C173" s="443">
        <v>45</v>
      </c>
      <c r="D173" s="443">
        <v>88</v>
      </c>
      <c r="E173" s="453">
        <v>0.27</v>
      </c>
      <c r="F173" s="449">
        <f t="shared" ref="F173:F190" si="6">(G173+E173)/2</f>
        <v>0.255</v>
      </c>
      <c r="G173" s="449">
        <v>0.24</v>
      </c>
      <c r="H173" s="449">
        <f t="shared" ref="H173:H190" si="7">(I173+G173)/2</f>
        <v>0.22499999999999998</v>
      </c>
      <c r="I173" s="449">
        <v>0.21</v>
      </c>
      <c r="J173" s="449">
        <f t="shared" ref="J173:J190" si="8">(K173+I173)/2</f>
        <v>0.2</v>
      </c>
      <c r="K173" s="449">
        <v>0.19</v>
      </c>
      <c r="L173" s="449">
        <f t="shared" ref="L173:L190" si="9">(M173+K173)/2</f>
        <v>0.18</v>
      </c>
      <c r="M173" s="449">
        <v>0.17</v>
      </c>
      <c r="N173" s="449">
        <f t="shared" ref="N173:N190" si="10">(O173+M173)/2</f>
        <v>0.16500000000000001</v>
      </c>
      <c r="O173" s="450">
        <v>0.16</v>
      </c>
    </row>
    <row r="174" spans="1:15" x14ac:dyDescent="0.25">
      <c r="A174" s="385" t="s">
        <v>96</v>
      </c>
      <c r="B174" s="443" t="s">
        <v>144</v>
      </c>
      <c r="C174" s="443">
        <v>60</v>
      </c>
      <c r="D174" s="443">
        <v>83</v>
      </c>
      <c r="E174" s="453">
        <v>0.43</v>
      </c>
      <c r="F174" s="449">
        <f t="shared" si="6"/>
        <v>0.41000000000000003</v>
      </c>
      <c r="G174" s="449">
        <v>0.39</v>
      </c>
      <c r="H174" s="449">
        <f t="shared" si="7"/>
        <v>0.375</v>
      </c>
      <c r="I174" s="449">
        <v>0.36</v>
      </c>
      <c r="J174" s="449">
        <f t="shared" si="8"/>
        <v>0.35</v>
      </c>
      <c r="K174" s="449">
        <v>0.34</v>
      </c>
      <c r="L174" s="449">
        <f t="shared" si="9"/>
        <v>0.33500000000000002</v>
      </c>
      <c r="M174" s="449">
        <v>0.33</v>
      </c>
      <c r="N174" s="449">
        <f t="shared" si="10"/>
        <v>0.32500000000000001</v>
      </c>
      <c r="O174" s="450">
        <v>0.32</v>
      </c>
    </row>
    <row r="175" spans="1:15" x14ac:dyDescent="0.25">
      <c r="A175" s="385"/>
      <c r="B175" s="443" t="s">
        <v>145</v>
      </c>
      <c r="C175" s="443">
        <v>75</v>
      </c>
      <c r="D175" s="443">
        <v>80</v>
      </c>
      <c r="E175" s="453">
        <v>0.64</v>
      </c>
      <c r="F175" s="449">
        <f t="shared" si="6"/>
        <v>0.63</v>
      </c>
      <c r="G175" s="449">
        <v>0.62</v>
      </c>
      <c r="H175" s="449">
        <f t="shared" si="7"/>
        <v>0.61</v>
      </c>
      <c r="I175" s="449">
        <v>0.6</v>
      </c>
      <c r="J175" s="449">
        <f t="shared" si="8"/>
        <v>0.59499999999999997</v>
      </c>
      <c r="K175" s="449">
        <v>0.59</v>
      </c>
      <c r="L175" s="449">
        <f t="shared" si="9"/>
        <v>0.58499999999999996</v>
      </c>
      <c r="M175" s="449">
        <v>0.57999999999999996</v>
      </c>
      <c r="N175" s="449">
        <f t="shared" si="10"/>
        <v>0.57499999999999996</v>
      </c>
      <c r="O175" s="450">
        <v>0.56999999999999995</v>
      </c>
    </row>
    <row r="176" spans="1:15" x14ac:dyDescent="0.25">
      <c r="A176" s="385"/>
      <c r="B176" s="443" t="s">
        <v>146</v>
      </c>
      <c r="C176" s="443">
        <v>90</v>
      </c>
      <c r="D176" s="443">
        <v>72</v>
      </c>
      <c r="E176" s="453">
        <v>1</v>
      </c>
      <c r="F176" s="449">
        <f t="shared" si="6"/>
        <v>1</v>
      </c>
      <c r="G176" s="449">
        <v>1</v>
      </c>
      <c r="H176" s="449">
        <f t="shared" si="7"/>
        <v>1</v>
      </c>
      <c r="I176" s="449">
        <v>1</v>
      </c>
      <c r="J176" s="449">
        <f t="shared" si="8"/>
        <v>1</v>
      </c>
      <c r="K176" s="449">
        <v>1</v>
      </c>
      <c r="L176" s="449">
        <f t="shared" si="9"/>
        <v>1</v>
      </c>
      <c r="M176" s="449">
        <v>1</v>
      </c>
      <c r="N176" s="449">
        <f t="shared" si="10"/>
        <v>1</v>
      </c>
      <c r="O176" s="450">
        <v>1</v>
      </c>
    </row>
    <row r="177" spans="1:15" x14ac:dyDescent="0.25">
      <c r="A177" s="451"/>
      <c r="B177" s="445" t="s">
        <v>418</v>
      </c>
      <c r="C177" s="445">
        <v>100</v>
      </c>
      <c r="D177" s="445"/>
      <c r="E177" s="458" t="s">
        <v>436</v>
      </c>
      <c r="F177" s="465"/>
      <c r="G177" s="459"/>
      <c r="H177" s="465"/>
      <c r="I177" s="459"/>
      <c r="J177" s="465"/>
      <c r="K177" s="459"/>
      <c r="L177" s="465"/>
      <c r="M177" s="459"/>
      <c r="N177" s="465"/>
      <c r="O177" s="460"/>
    </row>
    <row r="178" spans="1:15" x14ac:dyDescent="0.25">
      <c r="A178" s="385"/>
      <c r="B178" s="452"/>
      <c r="C178" s="452"/>
      <c r="D178" s="452"/>
      <c r="E178" s="446"/>
      <c r="F178" s="467"/>
      <c r="G178" s="447"/>
      <c r="H178" s="467"/>
      <c r="I178" s="447"/>
      <c r="J178" s="467"/>
      <c r="K178" s="447"/>
      <c r="L178" s="467"/>
      <c r="M178" s="447"/>
      <c r="N178" s="467"/>
      <c r="O178" s="448"/>
    </row>
    <row r="179" spans="1:15" x14ac:dyDescent="0.25">
      <c r="A179" s="385"/>
      <c r="B179" s="443" t="s">
        <v>46</v>
      </c>
      <c r="C179" s="443">
        <v>30</v>
      </c>
      <c r="D179" s="443">
        <v>91</v>
      </c>
      <c r="E179" s="453">
        <v>0.15</v>
      </c>
      <c r="F179" s="449">
        <f t="shared" si="6"/>
        <v>0.125</v>
      </c>
      <c r="G179" s="449">
        <v>0.1</v>
      </c>
      <c r="H179" s="449">
        <f t="shared" si="7"/>
        <v>8.5000000000000006E-2</v>
      </c>
      <c r="I179" s="449">
        <v>7.0000000000000007E-2</v>
      </c>
      <c r="J179" s="449">
        <f t="shared" si="8"/>
        <v>6.0000000000000005E-2</v>
      </c>
      <c r="K179" s="449">
        <v>0.05</v>
      </c>
      <c r="L179" s="449">
        <f t="shared" si="9"/>
        <v>4.4999999999999998E-2</v>
      </c>
      <c r="M179" s="449">
        <v>0.04</v>
      </c>
      <c r="N179" s="449">
        <f t="shared" si="10"/>
        <v>3.5000000000000003E-2</v>
      </c>
      <c r="O179" s="450">
        <v>0.03</v>
      </c>
    </row>
    <row r="180" spans="1:15" x14ac:dyDescent="0.25">
      <c r="A180" s="385"/>
      <c r="B180" s="443" t="s">
        <v>47</v>
      </c>
      <c r="C180" s="443">
        <v>45</v>
      </c>
      <c r="D180" s="443">
        <v>86</v>
      </c>
      <c r="E180" s="453">
        <v>0.26</v>
      </c>
      <c r="F180" s="449">
        <f t="shared" si="6"/>
        <v>0.245</v>
      </c>
      <c r="G180" s="449">
        <v>0.23</v>
      </c>
      <c r="H180" s="449">
        <f t="shared" si="7"/>
        <v>0.21000000000000002</v>
      </c>
      <c r="I180" s="449">
        <v>0.19</v>
      </c>
      <c r="J180" s="449">
        <f t="shared" si="8"/>
        <v>0.18</v>
      </c>
      <c r="K180" s="449">
        <v>0.17</v>
      </c>
      <c r="L180" s="449">
        <f t="shared" si="9"/>
        <v>0.16</v>
      </c>
      <c r="M180" s="449">
        <v>0.15</v>
      </c>
      <c r="N180" s="449">
        <f t="shared" si="10"/>
        <v>0.14000000000000001</v>
      </c>
      <c r="O180" s="450">
        <v>0.13</v>
      </c>
    </row>
    <row r="181" spans="1:15" x14ac:dyDescent="0.25">
      <c r="A181" s="385" t="s">
        <v>97</v>
      </c>
      <c r="B181" s="443" t="s">
        <v>144</v>
      </c>
      <c r="C181" s="443">
        <v>60</v>
      </c>
      <c r="D181" s="443">
        <v>82</v>
      </c>
      <c r="E181" s="453">
        <v>0.42</v>
      </c>
      <c r="F181" s="449">
        <f t="shared" si="6"/>
        <v>0.40500000000000003</v>
      </c>
      <c r="G181" s="449">
        <v>0.39</v>
      </c>
      <c r="H181" s="449">
        <f t="shared" si="7"/>
        <v>0.37</v>
      </c>
      <c r="I181" s="449">
        <v>0.35</v>
      </c>
      <c r="J181" s="449">
        <f t="shared" si="8"/>
        <v>0.33499999999999996</v>
      </c>
      <c r="K181" s="449">
        <v>0.32</v>
      </c>
      <c r="L181" s="449">
        <f t="shared" si="9"/>
        <v>0.31</v>
      </c>
      <c r="M181" s="449">
        <v>0.3</v>
      </c>
      <c r="N181" s="449">
        <f t="shared" si="10"/>
        <v>0.29000000000000004</v>
      </c>
      <c r="O181" s="450">
        <v>0.28000000000000003</v>
      </c>
    </row>
    <row r="182" spans="1:15" x14ac:dyDescent="0.25">
      <c r="A182" s="385"/>
      <c r="B182" s="443" t="s">
        <v>145</v>
      </c>
      <c r="C182" s="443">
        <v>75</v>
      </c>
      <c r="D182" s="443">
        <v>78</v>
      </c>
      <c r="E182" s="453">
        <v>0.62</v>
      </c>
      <c r="F182" s="449">
        <f t="shared" si="6"/>
        <v>0.59499999999999997</v>
      </c>
      <c r="G182" s="449">
        <v>0.56999999999999995</v>
      </c>
      <c r="H182" s="449">
        <f t="shared" si="7"/>
        <v>0.54499999999999993</v>
      </c>
      <c r="I182" s="449">
        <v>0.52</v>
      </c>
      <c r="J182" s="449">
        <f t="shared" si="8"/>
        <v>0.5</v>
      </c>
      <c r="K182" s="449">
        <v>0.48</v>
      </c>
      <c r="L182" s="449">
        <f t="shared" si="9"/>
        <v>0.47</v>
      </c>
      <c r="M182" s="449">
        <v>0.46</v>
      </c>
      <c r="N182" s="449">
        <f t="shared" si="10"/>
        <v>0.44500000000000001</v>
      </c>
      <c r="O182" s="450">
        <v>0.43</v>
      </c>
    </row>
    <row r="183" spans="1:15" x14ac:dyDescent="0.25">
      <c r="A183" s="385"/>
      <c r="B183" s="443" t="s">
        <v>146</v>
      </c>
      <c r="C183" s="443">
        <v>90</v>
      </c>
      <c r="D183" s="443">
        <v>64</v>
      </c>
      <c r="E183" s="453">
        <v>0.97</v>
      </c>
      <c r="F183" s="449">
        <f t="shared" si="6"/>
        <v>0.95499999999999996</v>
      </c>
      <c r="G183" s="449">
        <v>0.94</v>
      </c>
      <c r="H183" s="449">
        <f t="shared" si="7"/>
        <v>0.92999999999999994</v>
      </c>
      <c r="I183" s="449">
        <v>0.92</v>
      </c>
      <c r="J183" s="449">
        <f t="shared" si="8"/>
        <v>0.91500000000000004</v>
      </c>
      <c r="K183" s="449">
        <v>0.91</v>
      </c>
      <c r="L183" s="449">
        <f t="shared" si="9"/>
        <v>0.90500000000000003</v>
      </c>
      <c r="M183" s="449">
        <v>0.9</v>
      </c>
      <c r="N183" s="449">
        <f t="shared" si="10"/>
        <v>0.9</v>
      </c>
      <c r="O183" s="450">
        <v>0.9</v>
      </c>
    </row>
    <row r="184" spans="1:15" x14ac:dyDescent="0.25">
      <c r="A184" s="451"/>
      <c r="B184" s="445" t="s">
        <v>418</v>
      </c>
      <c r="C184" s="445">
        <v>100</v>
      </c>
      <c r="D184" s="445"/>
      <c r="E184" s="458" t="s">
        <v>436</v>
      </c>
      <c r="F184" s="465"/>
      <c r="G184" s="459"/>
      <c r="H184" s="465"/>
      <c r="I184" s="459"/>
      <c r="J184" s="465"/>
      <c r="K184" s="459"/>
      <c r="L184" s="465"/>
      <c r="M184" s="459"/>
      <c r="N184" s="465"/>
      <c r="O184" s="460"/>
    </row>
    <row r="185" spans="1:15" x14ac:dyDescent="0.25">
      <c r="A185" s="385"/>
      <c r="B185" s="443"/>
      <c r="C185" s="443"/>
      <c r="D185" s="452"/>
      <c r="E185" s="108"/>
      <c r="F185" s="449"/>
      <c r="G185" s="108"/>
      <c r="H185" s="449"/>
      <c r="I185" s="108"/>
      <c r="J185" s="449"/>
      <c r="L185" s="449"/>
      <c r="N185" s="449"/>
    </row>
    <row r="186" spans="1:15" x14ac:dyDescent="0.25">
      <c r="A186" s="385"/>
      <c r="B186" s="443" t="s">
        <v>46</v>
      </c>
      <c r="C186" s="443">
        <v>30</v>
      </c>
      <c r="D186" s="443">
        <v>90</v>
      </c>
      <c r="E186" s="468">
        <v>0.14000000000000001</v>
      </c>
      <c r="F186" s="467">
        <f t="shared" si="6"/>
        <v>0.115</v>
      </c>
      <c r="G186" s="467">
        <v>0.09</v>
      </c>
      <c r="H186" s="467">
        <f t="shared" si="7"/>
        <v>0.08</v>
      </c>
      <c r="I186" s="467">
        <v>7.0000000000000007E-2</v>
      </c>
      <c r="J186" s="467">
        <f t="shared" si="8"/>
        <v>5.5000000000000007E-2</v>
      </c>
      <c r="K186" s="467">
        <v>0.04</v>
      </c>
      <c r="L186" s="467">
        <f t="shared" si="9"/>
        <v>0.03</v>
      </c>
      <c r="M186" s="467">
        <v>0.02</v>
      </c>
      <c r="N186" s="467">
        <f t="shared" si="10"/>
        <v>1.4999999999999999E-2</v>
      </c>
      <c r="O186" s="469">
        <v>0.01</v>
      </c>
    </row>
    <row r="187" spans="1:15" x14ac:dyDescent="0.25">
      <c r="A187" s="385"/>
      <c r="B187" s="443" t="s">
        <v>47</v>
      </c>
      <c r="C187" s="443">
        <v>45</v>
      </c>
      <c r="D187" s="443">
        <v>86</v>
      </c>
      <c r="E187" s="453">
        <v>0.25</v>
      </c>
      <c r="F187" s="449">
        <f t="shared" si="6"/>
        <v>0.22500000000000001</v>
      </c>
      <c r="G187" s="449">
        <v>0.2</v>
      </c>
      <c r="H187" s="449">
        <f t="shared" si="7"/>
        <v>0.18</v>
      </c>
      <c r="I187" s="449">
        <v>0.16</v>
      </c>
      <c r="J187" s="449">
        <f t="shared" si="8"/>
        <v>0.14500000000000002</v>
      </c>
      <c r="K187" s="449">
        <v>0.13</v>
      </c>
      <c r="L187" s="449">
        <f t="shared" si="9"/>
        <v>0.13</v>
      </c>
      <c r="M187" s="449">
        <v>0.13</v>
      </c>
      <c r="N187" s="449">
        <f t="shared" si="10"/>
        <v>0.115</v>
      </c>
      <c r="O187" s="450">
        <v>0.1</v>
      </c>
    </row>
    <row r="188" spans="1:15" x14ac:dyDescent="0.25">
      <c r="A188" s="385" t="s">
        <v>202</v>
      </c>
      <c r="B188" s="443" t="s">
        <v>144</v>
      </c>
      <c r="C188" s="443">
        <v>60</v>
      </c>
      <c r="D188" s="443">
        <v>78</v>
      </c>
      <c r="E188" s="453">
        <v>0.39</v>
      </c>
      <c r="F188" s="449">
        <f t="shared" si="6"/>
        <v>0.36</v>
      </c>
      <c r="G188" s="449">
        <v>0.33</v>
      </c>
      <c r="H188" s="449">
        <f t="shared" si="7"/>
        <v>0.30500000000000005</v>
      </c>
      <c r="I188" s="449">
        <v>0.28000000000000003</v>
      </c>
      <c r="J188" s="449">
        <f t="shared" si="8"/>
        <v>0.255</v>
      </c>
      <c r="K188" s="449">
        <v>0.23</v>
      </c>
      <c r="L188" s="449">
        <f t="shared" si="9"/>
        <v>0.21500000000000002</v>
      </c>
      <c r="M188" s="449">
        <v>0.2</v>
      </c>
      <c r="N188" s="449">
        <f t="shared" si="10"/>
        <v>0.18</v>
      </c>
      <c r="O188" s="450">
        <v>0.16</v>
      </c>
    </row>
    <row r="189" spans="1:15" x14ac:dyDescent="0.25">
      <c r="A189" s="385"/>
      <c r="B189" s="443" t="s">
        <v>145</v>
      </c>
      <c r="C189" s="443">
        <v>75</v>
      </c>
      <c r="D189" s="443">
        <v>72</v>
      </c>
      <c r="E189" s="453">
        <v>0.57999999999999996</v>
      </c>
      <c r="F189" s="449">
        <f t="shared" si="6"/>
        <v>0.54</v>
      </c>
      <c r="G189" s="449">
        <v>0.5</v>
      </c>
      <c r="H189" s="449">
        <f t="shared" si="7"/>
        <v>0.47499999999999998</v>
      </c>
      <c r="I189" s="449">
        <v>0.45</v>
      </c>
      <c r="J189" s="449">
        <f t="shared" si="8"/>
        <v>0.42500000000000004</v>
      </c>
      <c r="K189" s="449">
        <v>0.4</v>
      </c>
      <c r="L189" s="449">
        <f t="shared" si="9"/>
        <v>0.38500000000000001</v>
      </c>
      <c r="M189" s="449">
        <v>0.37</v>
      </c>
      <c r="N189" s="449">
        <f t="shared" si="10"/>
        <v>0.35</v>
      </c>
      <c r="O189" s="450">
        <v>0.33</v>
      </c>
    </row>
    <row r="190" spans="1:15" x14ac:dyDescent="0.25">
      <c r="A190" s="385"/>
      <c r="B190" s="443" t="s">
        <v>146</v>
      </c>
      <c r="C190" s="443">
        <v>90</v>
      </c>
      <c r="D190" s="443">
        <v>56</v>
      </c>
      <c r="E190" s="453">
        <v>0.91</v>
      </c>
      <c r="F190" s="449">
        <f t="shared" si="6"/>
        <v>0.89</v>
      </c>
      <c r="G190" s="449">
        <v>0.87</v>
      </c>
      <c r="H190" s="449">
        <f t="shared" si="7"/>
        <v>0.85499999999999998</v>
      </c>
      <c r="I190" s="449">
        <v>0.84</v>
      </c>
      <c r="J190" s="449">
        <f t="shared" si="8"/>
        <v>0.83</v>
      </c>
      <c r="K190" s="449">
        <v>0.82</v>
      </c>
      <c r="L190" s="449">
        <f t="shared" si="9"/>
        <v>0.81</v>
      </c>
      <c r="M190" s="449">
        <v>0.8</v>
      </c>
      <c r="N190" s="449">
        <f t="shared" si="10"/>
        <v>0.79</v>
      </c>
      <c r="O190" s="450">
        <v>0.78</v>
      </c>
    </row>
    <row r="191" spans="1:15" x14ac:dyDescent="0.25">
      <c r="A191" s="454"/>
      <c r="B191" s="445" t="s">
        <v>418</v>
      </c>
      <c r="C191" s="445">
        <v>100</v>
      </c>
      <c r="D191" s="445"/>
      <c r="E191" s="458" t="s">
        <v>436</v>
      </c>
      <c r="F191" s="454"/>
      <c r="G191" s="459"/>
      <c r="H191" s="454"/>
      <c r="I191" s="459"/>
      <c r="J191" s="454"/>
      <c r="K191" s="459"/>
      <c r="L191" s="454"/>
      <c r="M191" s="459"/>
      <c r="N191" s="454"/>
      <c r="O191" s="460"/>
    </row>
    <row r="192" spans="1:15" x14ac:dyDescent="0.25">
      <c r="A192" t="s">
        <v>476</v>
      </c>
    </row>
    <row r="193" spans="1:15" x14ac:dyDescent="0.25">
      <c r="A193" s="440"/>
      <c r="B193" s="441"/>
      <c r="C193" s="441"/>
      <c r="D193" s="441"/>
      <c r="E193" s="590" t="s">
        <v>427</v>
      </c>
      <c r="F193" s="591"/>
      <c r="G193" s="591"/>
      <c r="H193" s="591"/>
      <c r="I193" s="591"/>
      <c r="J193" s="592"/>
    </row>
    <row r="194" spans="1:15" x14ac:dyDescent="0.25">
      <c r="A194" s="442" t="s">
        <v>428</v>
      </c>
      <c r="B194" s="443"/>
      <c r="C194" s="443"/>
      <c r="D194" s="443"/>
      <c r="E194" s="480" t="s">
        <v>429</v>
      </c>
      <c r="F194" s="152"/>
      <c r="G194" s="152"/>
      <c r="H194" s="152"/>
      <c r="I194" s="152"/>
      <c r="J194" s="455"/>
    </row>
    <row r="195" spans="1:15" x14ac:dyDescent="0.25">
      <c r="A195" s="442" t="s">
        <v>430</v>
      </c>
      <c r="B195" s="443" t="s">
        <v>19</v>
      </c>
      <c r="C195" s="443" t="s">
        <v>431</v>
      </c>
      <c r="D195" s="443" t="s">
        <v>218</v>
      </c>
      <c r="E195" s="444" t="s">
        <v>432</v>
      </c>
      <c r="F195" s="456"/>
      <c r="G195" s="456"/>
      <c r="H195" s="456"/>
      <c r="I195" s="456"/>
      <c r="J195" s="457"/>
    </row>
    <row r="196" spans="1:15" x14ac:dyDescent="0.25">
      <c r="A196" s="444" t="s">
        <v>433</v>
      </c>
      <c r="B196" s="445"/>
      <c r="C196" s="445" t="s">
        <v>434</v>
      </c>
      <c r="D196" s="445" t="s">
        <v>435</v>
      </c>
      <c r="E196" s="470">
        <v>0</v>
      </c>
      <c r="F196" s="471">
        <v>10</v>
      </c>
      <c r="G196" s="471">
        <v>20</v>
      </c>
      <c r="H196" s="471">
        <v>30</v>
      </c>
      <c r="I196" s="471">
        <v>40</v>
      </c>
      <c r="J196" s="471">
        <v>50</v>
      </c>
      <c r="K196" s="471">
        <v>60</v>
      </c>
      <c r="L196" s="471">
        <v>70</v>
      </c>
      <c r="M196" s="471">
        <v>80</v>
      </c>
      <c r="N196" s="471">
        <v>90</v>
      </c>
      <c r="O196" s="472">
        <v>100</v>
      </c>
    </row>
    <row r="197" spans="1:15" x14ac:dyDescent="0.25">
      <c r="A197" s="441"/>
      <c r="B197" s="441"/>
      <c r="C197" s="441"/>
      <c r="D197" s="440"/>
      <c r="E197" s="446"/>
      <c r="F197" s="447"/>
      <c r="G197" s="447"/>
      <c r="H197" s="447"/>
      <c r="I197" s="447"/>
      <c r="J197" s="447"/>
      <c r="K197" s="447"/>
      <c r="L197" s="447"/>
      <c r="M197" s="447"/>
      <c r="N197" s="447"/>
      <c r="O197" s="448"/>
    </row>
    <row r="198" spans="1:15" x14ac:dyDescent="0.25">
      <c r="A198" s="443"/>
      <c r="B198" s="443" t="str">
        <f t="shared" ref="A198:O203" si="11">IF($E$120="p",B172,IF($E$120="L",B179,IF($E$120="m",B186)))</f>
        <v>A</v>
      </c>
      <c r="C198" s="443">
        <f t="shared" si="11"/>
        <v>30</v>
      </c>
      <c r="D198" s="442">
        <f t="shared" si="11"/>
        <v>93</v>
      </c>
      <c r="E198" s="453">
        <f>IF($E$120="p",E172,IF($E$120="L",E179,IF($E$120="m",E186)))</f>
        <v>0.15</v>
      </c>
      <c r="F198" s="449">
        <f t="shared" ref="F198:O198" si="12">IF($E$120="p",F172,IF($E$120="L",F179,IF($E$120="m",F186)))</f>
        <v>0.13500000000000001</v>
      </c>
      <c r="G198" s="449">
        <f t="shared" si="12"/>
        <v>0.12</v>
      </c>
      <c r="H198" s="449">
        <f t="shared" si="12"/>
        <v>0.105</v>
      </c>
      <c r="I198" s="449">
        <f t="shared" si="12"/>
        <v>0.09</v>
      </c>
      <c r="J198" s="449">
        <f t="shared" si="12"/>
        <v>0.08</v>
      </c>
      <c r="K198" s="449">
        <f t="shared" si="12"/>
        <v>7.0000000000000007E-2</v>
      </c>
      <c r="L198" s="449">
        <f t="shared" si="12"/>
        <v>6.0000000000000005E-2</v>
      </c>
      <c r="M198" s="449">
        <f t="shared" si="12"/>
        <v>0.05</v>
      </c>
      <c r="N198" s="449">
        <f t="shared" si="12"/>
        <v>4.4999999999999998E-2</v>
      </c>
      <c r="O198" s="450">
        <f t="shared" si="12"/>
        <v>0.04</v>
      </c>
    </row>
    <row r="199" spans="1:15" x14ac:dyDescent="0.25">
      <c r="A199" s="443"/>
      <c r="B199" s="443" t="str">
        <f t="shared" si="11"/>
        <v>B</v>
      </c>
      <c r="C199" s="443">
        <f t="shared" si="11"/>
        <v>45</v>
      </c>
      <c r="D199" s="442">
        <f t="shared" si="11"/>
        <v>88</v>
      </c>
      <c r="E199" s="453">
        <f t="shared" si="11"/>
        <v>0.27</v>
      </c>
      <c r="F199" s="449">
        <f t="shared" si="11"/>
        <v>0.255</v>
      </c>
      <c r="G199" s="449">
        <f t="shared" si="11"/>
        <v>0.24</v>
      </c>
      <c r="H199" s="449">
        <f t="shared" si="11"/>
        <v>0.22499999999999998</v>
      </c>
      <c r="I199" s="449">
        <f t="shared" si="11"/>
        <v>0.21</v>
      </c>
      <c r="J199" s="449">
        <f t="shared" si="11"/>
        <v>0.2</v>
      </c>
      <c r="K199" s="449">
        <f t="shared" si="11"/>
        <v>0.19</v>
      </c>
      <c r="L199" s="449">
        <f t="shared" si="11"/>
        <v>0.18</v>
      </c>
      <c r="M199" s="449">
        <f t="shared" si="11"/>
        <v>0.17</v>
      </c>
      <c r="N199" s="449">
        <f t="shared" si="11"/>
        <v>0.16500000000000001</v>
      </c>
      <c r="O199" s="450">
        <f t="shared" si="11"/>
        <v>0.16</v>
      </c>
    </row>
    <row r="200" spans="1:15" x14ac:dyDescent="0.25">
      <c r="A200" s="443" t="str">
        <f t="shared" si="11"/>
        <v>PLANO</v>
      </c>
      <c r="B200" s="443" t="str">
        <f t="shared" si="11"/>
        <v>C</v>
      </c>
      <c r="C200" s="443">
        <f t="shared" si="11"/>
        <v>60</v>
      </c>
      <c r="D200" s="442">
        <f t="shared" si="11"/>
        <v>83</v>
      </c>
      <c r="E200" s="453">
        <f t="shared" si="11"/>
        <v>0.43</v>
      </c>
      <c r="F200" s="449">
        <f t="shared" si="11"/>
        <v>0.41000000000000003</v>
      </c>
      <c r="G200" s="449">
        <f t="shared" si="11"/>
        <v>0.39</v>
      </c>
      <c r="H200" s="449">
        <f t="shared" si="11"/>
        <v>0.375</v>
      </c>
      <c r="I200" s="449">
        <f t="shared" si="11"/>
        <v>0.36</v>
      </c>
      <c r="J200" s="449">
        <f t="shared" si="11"/>
        <v>0.35</v>
      </c>
      <c r="K200" s="449">
        <f t="shared" si="11"/>
        <v>0.34</v>
      </c>
      <c r="L200" s="449">
        <f t="shared" si="11"/>
        <v>0.33500000000000002</v>
      </c>
      <c r="M200" s="449">
        <f t="shared" si="11"/>
        <v>0.33</v>
      </c>
      <c r="N200" s="449">
        <f t="shared" si="11"/>
        <v>0.32500000000000001</v>
      </c>
      <c r="O200" s="450">
        <f t="shared" si="11"/>
        <v>0.32</v>
      </c>
    </row>
    <row r="201" spans="1:15" x14ac:dyDescent="0.25">
      <c r="A201" s="443"/>
      <c r="B201" s="443" t="str">
        <f t="shared" si="11"/>
        <v>D</v>
      </c>
      <c r="C201" s="443">
        <f t="shared" si="11"/>
        <v>75</v>
      </c>
      <c r="D201" s="442">
        <f t="shared" si="11"/>
        <v>80</v>
      </c>
      <c r="E201" s="453">
        <f t="shared" si="11"/>
        <v>0.64</v>
      </c>
      <c r="F201" s="449">
        <f t="shared" si="11"/>
        <v>0.63</v>
      </c>
      <c r="G201" s="449">
        <f t="shared" si="11"/>
        <v>0.62</v>
      </c>
      <c r="H201" s="449">
        <f t="shared" si="11"/>
        <v>0.61</v>
      </c>
      <c r="I201" s="449">
        <f t="shared" si="11"/>
        <v>0.6</v>
      </c>
      <c r="J201" s="449">
        <f t="shared" si="11"/>
        <v>0.59499999999999997</v>
      </c>
      <c r="K201" s="449">
        <f t="shared" si="11"/>
        <v>0.59</v>
      </c>
      <c r="L201" s="449">
        <f t="shared" si="11"/>
        <v>0.58499999999999996</v>
      </c>
      <c r="M201" s="449">
        <f t="shared" si="11"/>
        <v>0.57999999999999996</v>
      </c>
      <c r="N201" s="449">
        <f t="shared" si="11"/>
        <v>0.57499999999999996</v>
      </c>
      <c r="O201" s="450">
        <f t="shared" si="11"/>
        <v>0.56999999999999995</v>
      </c>
    </row>
    <row r="202" spans="1:15" x14ac:dyDescent="0.25">
      <c r="A202" s="443"/>
      <c r="B202" s="443" t="str">
        <f t="shared" si="11"/>
        <v>E</v>
      </c>
      <c r="C202" s="443">
        <f t="shared" si="11"/>
        <v>90</v>
      </c>
      <c r="D202" s="442">
        <f t="shared" si="11"/>
        <v>72</v>
      </c>
      <c r="E202" s="453">
        <f t="shared" si="11"/>
        <v>1</v>
      </c>
      <c r="F202" s="449">
        <f t="shared" si="11"/>
        <v>1</v>
      </c>
      <c r="G202" s="449">
        <f t="shared" si="11"/>
        <v>1</v>
      </c>
      <c r="H202" s="449">
        <f t="shared" si="11"/>
        <v>1</v>
      </c>
      <c r="I202" s="449">
        <f t="shared" si="11"/>
        <v>1</v>
      </c>
      <c r="J202" s="449">
        <f t="shared" si="11"/>
        <v>1</v>
      </c>
      <c r="K202" s="449">
        <f t="shared" si="11"/>
        <v>1</v>
      </c>
      <c r="L202" s="449">
        <f t="shared" si="11"/>
        <v>1</v>
      </c>
      <c r="M202" s="449">
        <f t="shared" si="11"/>
        <v>1</v>
      </c>
      <c r="N202" s="449">
        <f t="shared" si="11"/>
        <v>1</v>
      </c>
      <c r="O202" s="450">
        <f t="shared" si="11"/>
        <v>1</v>
      </c>
    </row>
    <row r="203" spans="1:15" x14ac:dyDescent="0.25">
      <c r="A203" s="445"/>
      <c r="B203" s="445" t="str">
        <f t="shared" si="11"/>
        <v>F</v>
      </c>
      <c r="C203" s="445">
        <f t="shared" si="11"/>
        <v>100</v>
      </c>
      <c r="D203" s="444"/>
      <c r="E203" s="464"/>
      <c r="F203" s="465"/>
      <c r="G203" s="465"/>
      <c r="H203" s="465"/>
      <c r="I203" s="465"/>
      <c r="J203" s="465"/>
      <c r="K203" s="465"/>
      <c r="L203" s="465"/>
      <c r="M203" s="465"/>
      <c r="N203" s="465"/>
      <c r="O203" s="466"/>
    </row>
    <row r="204" spans="1:15" x14ac:dyDescent="0.25">
      <c r="A204" t="s">
        <v>13</v>
      </c>
    </row>
    <row r="205" spans="1:15" x14ac:dyDescent="0.25">
      <c r="A205" s="440"/>
      <c r="B205" s="441"/>
      <c r="C205" s="441"/>
      <c r="D205" s="441"/>
      <c r="E205" s="590" t="s">
        <v>427</v>
      </c>
      <c r="F205" s="591"/>
      <c r="G205" s="591"/>
      <c r="H205" s="591"/>
      <c r="I205" s="591"/>
      <c r="J205" s="592"/>
    </row>
    <row r="206" spans="1:15" x14ac:dyDescent="0.25">
      <c r="A206" s="442" t="s">
        <v>428</v>
      </c>
      <c r="B206" s="443"/>
      <c r="C206" s="443"/>
      <c r="D206" s="443"/>
      <c r="E206" s="480" t="s">
        <v>429</v>
      </c>
      <c r="F206" s="152"/>
      <c r="G206" s="152"/>
      <c r="H206" s="152"/>
      <c r="I206" s="152"/>
      <c r="J206" s="455"/>
    </row>
    <row r="207" spans="1:15" x14ac:dyDescent="0.25">
      <c r="A207" s="442" t="s">
        <v>430</v>
      </c>
      <c r="B207" s="443" t="s">
        <v>19</v>
      </c>
      <c r="C207" s="443" t="s">
        <v>431</v>
      </c>
      <c r="D207" s="443" t="s">
        <v>218</v>
      </c>
      <c r="E207" s="444" t="s">
        <v>432</v>
      </c>
      <c r="F207" s="456"/>
      <c r="G207" s="456"/>
      <c r="H207" s="456"/>
      <c r="I207" s="456"/>
      <c r="J207" s="457"/>
    </row>
    <row r="208" spans="1:15" x14ac:dyDescent="0.25">
      <c r="A208" s="444" t="s">
        <v>433</v>
      </c>
      <c r="B208" s="445"/>
      <c r="C208" s="445" t="s">
        <v>434</v>
      </c>
      <c r="D208" s="445" t="s">
        <v>435</v>
      </c>
      <c r="E208" s="470">
        <v>0</v>
      </c>
      <c r="F208" s="471">
        <v>10</v>
      </c>
      <c r="G208" s="471">
        <v>20</v>
      </c>
      <c r="H208" s="471">
        <v>30</v>
      </c>
      <c r="I208" s="471">
        <v>40</v>
      </c>
      <c r="J208" s="471">
        <v>50</v>
      </c>
      <c r="K208" s="471">
        <v>60</v>
      </c>
      <c r="L208" s="471">
        <v>70</v>
      </c>
      <c r="M208" s="471">
        <v>80</v>
      </c>
      <c r="N208" s="471">
        <v>90</v>
      </c>
      <c r="O208" s="472">
        <v>100</v>
      </c>
    </row>
    <row r="209" spans="1:15" x14ac:dyDescent="0.25">
      <c r="A209" s="441"/>
      <c r="B209" s="441"/>
      <c r="C209" s="441"/>
      <c r="D209" s="440"/>
      <c r="E209" s="446"/>
      <c r="F209" s="447"/>
      <c r="G209" s="447"/>
      <c r="H209" s="447"/>
      <c r="I209" s="447"/>
      <c r="J209" s="447"/>
      <c r="K209" s="447"/>
      <c r="L209" s="447"/>
      <c r="M209" s="447"/>
      <c r="N209" s="447"/>
      <c r="O209" s="448"/>
    </row>
    <row r="210" spans="1:15" x14ac:dyDescent="0.25">
      <c r="A210" s="443"/>
      <c r="B210" s="443" t="str">
        <f>IF($F$120="p",B172,IF($F$120="L",B179,IF($F$120="m",B186)))</f>
        <v>A</v>
      </c>
      <c r="C210" s="443">
        <f>IF($F$120="p",C172,IF($F$120="L",C179,IF($F$120="m",C186)))</f>
        <v>30</v>
      </c>
      <c r="D210" s="442">
        <f>IF($F$120="p",D172,IF($F$120="L",D179,IF($F$120="m",D186)))</f>
        <v>93</v>
      </c>
      <c r="E210" s="442">
        <f>IF($F$120="p",E172,IF($F$120="L",E179,IF($F$120="m",E186)))</f>
        <v>0.15</v>
      </c>
      <c r="F210" s="152">
        <f t="shared" ref="F210:O210" si="13">IF($F$120="p",F172,IF($F$120="L",F179,IF($F$120="m",F186)))</f>
        <v>0.13500000000000001</v>
      </c>
      <c r="G210" s="152">
        <f t="shared" si="13"/>
        <v>0.12</v>
      </c>
      <c r="H210" s="152">
        <f t="shared" si="13"/>
        <v>0.105</v>
      </c>
      <c r="I210" s="152">
        <f t="shared" si="13"/>
        <v>0.09</v>
      </c>
      <c r="J210" s="152">
        <f t="shared" si="13"/>
        <v>0.08</v>
      </c>
      <c r="K210" s="152">
        <f t="shared" si="13"/>
        <v>7.0000000000000007E-2</v>
      </c>
      <c r="L210" s="152">
        <f t="shared" si="13"/>
        <v>6.0000000000000005E-2</v>
      </c>
      <c r="M210" s="152">
        <f t="shared" si="13"/>
        <v>0.05</v>
      </c>
      <c r="N210" s="152">
        <f t="shared" si="13"/>
        <v>4.4999999999999998E-2</v>
      </c>
      <c r="O210" s="455">
        <f t="shared" si="13"/>
        <v>0.04</v>
      </c>
    </row>
    <row r="211" spans="1:15" x14ac:dyDescent="0.25">
      <c r="A211" s="443"/>
      <c r="B211" s="443" t="str">
        <f t="shared" ref="A211:E215" si="14">IF($F$120="p",B173,IF($F$120="L",B180,IF($F$120="m",B187)))</f>
        <v>B</v>
      </c>
      <c r="C211" s="443">
        <f t="shared" si="14"/>
        <v>45</v>
      </c>
      <c r="D211" s="442">
        <f t="shared" si="14"/>
        <v>88</v>
      </c>
      <c r="E211" s="442">
        <f t="shared" si="14"/>
        <v>0.27</v>
      </c>
      <c r="F211" s="152">
        <f t="shared" ref="F211:O211" si="15">IF($F$120="p",F173,IF($F$120="L",F180,IF($F$120="m",F187)))</f>
        <v>0.255</v>
      </c>
      <c r="G211" s="152">
        <f t="shared" si="15"/>
        <v>0.24</v>
      </c>
      <c r="H211" s="152">
        <f t="shared" si="15"/>
        <v>0.22499999999999998</v>
      </c>
      <c r="I211" s="152">
        <f t="shared" si="15"/>
        <v>0.21</v>
      </c>
      <c r="J211" s="152">
        <f t="shared" si="15"/>
        <v>0.2</v>
      </c>
      <c r="K211" s="152">
        <f t="shared" si="15"/>
        <v>0.19</v>
      </c>
      <c r="L211" s="152">
        <f t="shared" si="15"/>
        <v>0.18</v>
      </c>
      <c r="M211" s="152">
        <f t="shared" si="15"/>
        <v>0.17</v>
      </c>
      <c r="N211" s="152">
        <f t="shared" si="15"/>
        <v>0.16500000000000001</v>
      </c>
      <c r="O211" s="455">
        <f t="shared" si="15"/>
        <v>0.16</v>
      </c>
    </row>
    <row r="212" spans="1:15" x14ac:dyDescent="0.25">
      <c r="A212" s="443" t="str">
        <f t="shared" si="14"/>
        <v>PLANO</v>
      </c>
      <c r="B212" s="443" t="str">
        <f t="shared" si="14"/>
        <v>C</v>
      </c>
      <c r="C212" s="443">
        <f t="shared" si="14"/>
        <v>60</v>
      </c>
      <c r="D212" s="442">
        <f t="shared" si="14"/>
        <v>83</v>
      </c>
      <c r="E212" s="442">
        <f t="shared" si="14"/>
        <v>0.43</v>
      </c>
      <c r="F212" s="152">
        <f t="shared" ref="F212:O212" si="16">IF($F$120="p",F174,IF($F$120="L",F181,IF($F$120="m",F188)))</f>
        <v>0.41000000000000003</v>
      </c>
      <c r="G212" s="152">
        <f t="shared" si="16"/>
        <v>0.39</v>
      </c>
      <c r="H212" s="152">
        <f t="shared" si="16"/>
        <v>0.375</v>
      </c>
      <c r="I212" s="152">
        <f t="shared" si="16"/>
        <v>0.36</v>
      </c>
      <c r="J212" s="152">
        <f t="shared" si="16"/>
        <v>0.35</v>
      </c>
      <c r="K212" s="152">
        <f t="shared" si="16"/>
        <v>0.34</v>
      </c>
      <c r="L212" s="152">
        <f t="shared" si="16"/>
        <v>0.33500000000000002</v>
      </c>
      <c r="M212" s="152">
        <f t="shared" si="16"/>
        <v>0.33</v>
      </c>
      <c r="N212" s="152">
        <f t="shared" si="16"/>
        <v>0.32500000000000001</v>
      </c>
      <c r="O212" s="455">
        <f t="shared" si="16"/>
        <v>0.32</v>
      </c>
    </row>
    <row r="213" spans="1:15" x14ac:dyDescent="0.25">
      <c r="A213" s="443"/>
      <c r="B213" s="443" t="str">
        <f t="shared" si="14"/>
        <v>D</v>
      </c>
      <c r="C213" s="443">
        <f t="shared" si="14"/>
        <v>75</v>
      </c>
      <c r="D213" s="442">
        <f t="shared" si="14"/>
        <v>80</v>
      </c>
      <c r="E213" s="442">
        <f t="shared" si="14"/>
        <v>0.64</v>
      </c>
      <c r="F213" s="152">
        <f t="shared" ref="F213:O213" si="17">IF($F$120="p",F175,IF($F$120="L",F182,IF($F$120="m",F189)))</f>
        <v>0.63</v>
      </c>
      <c r="G213" s="152">
        <f t="shared" si="17"/>
        <v>0.62</v>
      </c>
      <c r="H213" s="152">
        <f t="shared" si="17"/>
        <v>0.61</v>
      </c>
      <c r="I213" s="152">
        <f t="shared" si="17"/>
        <v>0.6</v>
      </c>
      <c r="J213" s="152">
        <f t="shared" si="17"/>
        <v>0.59499999999999997</v>
      </c>
      <c r="K213" s="152">
        <f t="shared" si="17"/>
        <v>0.59</v>
      </c>
      <c r="L213" s="152">
        <f t="shared" si="17"/>
        <v>0.58499999999999996</v>
      </c>
      <c r="M213" s="152">
        <f t="shared" si="17"/>
        <v>0.57999999999999996</v>
      </c>
      <c r="N213" s="152">
        <f t="shared" si="17"/>
        <v>0.57499999999999996</v>
      </c>
      <c r="O213" s="455">
        <f t="shared" si="17"/>
        <v>0.56999999999999995</v>
      </c>
    </row>
    <row r="214" spans="1:15" x14ac:dyDescent="0.25">
      <c r="A214" s="443"/>
      <c r="B214" s="443" t="str">
        <f t="shared" si="14"/>
        <v>E</v>
      </c>
      <c r="C214" s="443">
        <f t="shared" si="14"/>
        <v>90</v>
      </c>
      <c r="D214" s="442">
        <f t="shared" si="14"/>
        <v>72</v>
      </c>
      <c r="E214" s="442">
        <f t="shared" si="14"/>
        <v>1</v>
      </c>
      <c r="F214" s="152">
        <f t="shared" ref="F214:O214" si="18">IF($F$120="p",F176,IF($F$120="L",F183,IF($F$120="m",F190)))</f>
        <v>1</v>
      </c>
      <c r="G214" s="152">
        <f t="shared" si="18"/>
        <v>1</v>
      </c>
      <c r="H214" s="152">
        <f t="shared" si="18"/>
        <v>1</v>
      </c>
      <c r="I214" s="152">
        <f t="shared" si="18"/>
        <v>1</v>
      </c>
      <c r="J214" s="152">
        <f t="shared" si="18"/>
        <v>1</v>
      </c>
      <c r="K214" s="152">
        <f t="shared" si="18"/>
        <v>1</v>
      </c>
      <c r="L214" s="152">
        <f t="shared" si="18"/>
        <v>1</v>
      </c>
      <c r="M214" s="152">
        <f t="shared" si="18"/>
        <v>1</v>
      </c>
      <c r="N214" s="152">
        <f t="shared" si="18"/>
        <v>1</v>
      </c>
      <c r="O214" s="455">
        <f t="shared" si="18"/>
        <v>1</v>
      </c>
    </row>
    <row r="215" spans="1:15" x14ac:dyDescent="0.25">
      <c r="A215" s="445"/>
      <c r="B215" s="445" t="str">
        <f t="shared" si="14"/>
        <v>F</v>
      </c>
      <c r="C215" s="445">
        <f t="shared" si="14"/>
        <v>100</v>
      </c>
      <c r="D215" s="444"/>
      <c r="E215" s="444"/>
      <c r="F215" s="456"/>
      <c r="G215" s="456"/>
      <c r="H215" s="456"/>
      <c r="I215" s="456"/>
      <c r="J215" s="456"/>
      <c r="K215" s="454"/>
      <c r="L215" s="454"/>
      <c r="M215" s="454"/>
      <c r="N215" s="454"/>
      <c r="O215" s="473"/>
    </row>
    <row r="216" spans="1:15" x14ac:dyDescent="0.25">
      <c r="A216" t="s">
        <v>477</v>
      </c>
    </row>
    <row r="217" spans="1:15" x14ac:dyDescent="0.25">
      <c r="A217" s="440"/>
      <c r="B217" s="441"/>
      <c r="C217" s="441"/>
      <c r="D217" s="441"/>
      <c r="E217" s="590" t="s">
        <v>427</v>
      </c>
      <c r="F217" s="591"/>
      <c r="G217" s="591"/>
      <c r="H217" s="591"/>
      <c r="I217" s="591"/>
      <c r="J217" s="592"/>
    </row>
    <row r="218" spans="1:15" x14ac:dyDescent="0.25">
      <c r="A218" s="442" t="s">
        <v>428</v>
      </c>
      <c r="B218" s="443"/>
      <c r="C218" s="443"/>
      <c r="D218" s="443"/>
      <c r="E218" s="480" t="s">
        <v>429</v>
      </c>
      <c r="F218" s="152"/>
      <c r="G218" s="152"/>
      <c r="H218" s="152"/>
      <c r="I218" s="152"/>
      <c r="J218" s="455"/>
    </row>
    <row r="219" spans="1:15" x14ac:dyDescent="0.25">
      <c r="A219" s="442" t="s">
        <v>430</v>
      </c>
      <c r="B219" s="443" t="s">
        <v>19</v>
      </c>
      <c r="C219" s="443" t="s">
        <v>431</v>
      </c>
      <c r="D219" s="443" t="s">
        <v>218</v>
      </c>
      <c r="E219" s="444" t="s">
        <v>432</v>
      </c>
      <c r="F219" s="456"/>
      <c r="G219" s="456"/>
      <c r="H219" s="456"/>
      <c r="I219" s="456"/>
      <c r="J219" s="457"/>
    </row>
    <row r="220" spans="1:15" x14ac:dyDescent="0.25">
      <c r="A220" s="444" t="s">
        <v>433</v>
      </c>
      <c r="B220" s="445"/>
      <c r="C220" s="445" t="s">
        <v>434</v>
      </c>
      <c r="D220" s="445" t="s">
        <v>435</v>
      </c>
      <c r="E220" s="470">
        <v>0</v>
      </c>
      <c r="F220" s="471">
        <v>10</v>
      </c>
      <c r="G220" s="471">
        <v>20</v>
      </c>
      <c r="H220" s="471">
        <v>30</v>
      </c>
      <c r="I220" s="471">
        <v>40</v>
      </c>
      <c r="J220" s="471">
        <v>50</v>
      </c>
      <c r="K220" s="471">
        <v>60</v>
      </c>
      <c r="L220" s="471">
        <v>70</v>
      </c>
      <c r="M220" s="471">
        <v>80</v>
      </c>
      <c r="N220" s="471">
        <v>90</v>
      </c>
      <c r="O220" s="472">
        <v>100</v>
      </c>
    </row>
    <row r="221" spans="1:15" x14ac:dyDescent="0.25">
      <c r="A221" s="441"/>
      <c r="B221" s="441"/>
      <c r="C221" s="441"/>
      <c r="D221" s="440"/>
      <c r="E221" s="446"/>
      <c r="F221" s="447"/>
      <c r="G221" s="447"/>
      <c r="H221" s="447"/>
      <c r="I221" s="447"/>
      <c r="J221" s="447"/>
      <c r="K221" s="447"/>
      <c r="L221" s="447"/>
      <c r="M221" s="447"/>
      <c r="N221" s="447"/>
      <c r="O221" s="448"/>
    </row>
    <row r="222" spans="1:15" x14ac:dyDescent="0.25">
      <c r="A222" s="443"/>
      <c r="B222" s="443" t="str">
        <f>IF($G$120="p",B172,IF($G$120="L",B179,IF($G$120="m",B186)))</f>
        <v>A</v>
      </c>
      <c r="C222" s="443">
        <f>IF($G$120="p",C172,IF($G$120="L",C179,IF($G$120="m",C186)))</f>
        <v>30</v>
      </c>
      <c r="D222" s="442">
        <f>IF($G$120="p",D172,IF($G$120="L",D179,IF($G$120="m",D186)))</f>
        <v>93</v>
      </c>
      <c r="E222" s="442">
        <f>IF($G$120="p",E172,IF($G$120="L",E179,IF($G$120="m",E186)))</f>
        <v>0.15</v>
      </c>
      <c r="F222" s="152">
        <f t="shared" ref="F222:O222" si="19">IF($G$120="p",F172,IF($G$120="L",F179,IF($G$120="m",F186)))</f>
        <v>0.13500000000000001</v>
      </c>
      <c r="G222" s="152">
        <f t="shared" si="19"/>
        <v>0.12</v>
      </c>
      <c r="H222" s="152">
        <f t="shared" si="19"/>
        <v>0.105</v>
      </c>
      <c r="I222" s="152">
        <f t="shared" si="19"/>
        <v>0.09</v>
      </c>
      <c r="J222" s="152">
        <f t="shared" si="19"/>
        <v>0.08</v>
      </c>
      <c r="K222" s="152">
        <f t="shared" si="19"/>
        <v>7.0000000000000007E-2</v>
      </c>
      <c r="L222" s="152">
        <f t="shared" si="19"/>
        <v>6.0000000000000005E-2</v>
      </c>
      <c r="M222" s="152">
        <f t="shared" si="19"/>
        <v>0.05</v>
      </c>
      <c r="N222" s="152">
        <f t="shared" si="19"/>
        <v>4.4999999999999998E-2</v>
      </c>
      <c r="O222" s="455">
        <f t="shared" si="19"/>
        <v>0.04</v>
      </c>
    </row>
    <row r="223" spans="1:15" x14ac:dyDescent="0.25">
      <c r="A223" s="443"/>
      <c r="B223" s="443" t="str">
        <f t="shared" ref="A223:B227" si="20">IF($G$120="p",B173,IF($G$120="L",B180,IF($G$120="m",B187)))</f>
        <v>B</v>
      </c>
      <c r="C223" s="443">
        <f t="shared" ref="C223:E226" si="21">IF($G$120="p",C173,IF($G$120="L",C180,IF($G$120="m",C187)))</f>
        <v>45</v>
      </c>
      <c r="D223" s="442">
        <f t="shared" si="21"/>
        <v>88</v>
      </c>
      <c r="E223" s="442">
        <f t="shared" si="21"/>
        <v>0.27</v>
      </c>
      <c r="F223" s="152">
        <f t="shared" ref="F223:O223" si="22">IF($G$120="p",F173,IF($G$120="L",F180,IF($G$120="m",F187)))</f>
        <v>0.255</v>
      </c>
      <c r="G223" s="152">
        <f t="shared" si="22"/>
        <v>0.24</v>
      </c>
      <c r="H223" s="152">
        <f t="shared" si="22"/>
        <v>0.22499999999999998</v>
      </c>
      <c r="I223" s="152">
        <f t="shared" si="22"/>
        <v>0.21</v>
      </c>
      <c r="J223" s="152">
        <f t="shared" si="22"/>
        <v>0.2</v>
      </c>
      <c r="K223" s="152">
        <f t="shared" si="22"/>
        <v>0.19</v>
      </c>
      <c r="L223" s="152">
        <f t="shared" si="22"/>
        <v>0.18</v>
      </c>
      <c r="M223" s="152">
        <f t="shared" si="22"/>
        <v>0.17</v>
      </c>
      <c r="N223" s="152">
        <f t="shared" si="22"/>
        <v>0.16500000000000001</v>
      </c>
      <c r="O223" s="455">
        <f t="shared" si="22"/>
        <v>0.16</v>
      </c>
    </row>
    <row r="224" spans="1:15" x14ac:dyDescent="0.25">
      <c r="A224" s="443" t="str">
        <f t="shared" si="20"/>
        <v>PLANO</v>
      </c>
      <c r="B224" s="443" t="str">
        <f t="shared" si="20"/>
        <v>C</v>
      </c>
      <c r="C224" s="443">
        <f t="shared" si="21"/>
        <v>60</v>
      </c>
      <c r="D224" s="442">
        <f t="shared" si="21"/>
        <v>83</v>
      </c>
      <c r="E224" s="442">
        <f t="shared" si="21"/>
        <v>0.43</v>
      </c>
      <c r="F224" s="152">
        <f t="shared" ref="F224:O224" si="23">IF($G$120="p",F174,IF($G$120="L",F181,IF($G$120="m",F188)))</f>
        <v>0.41000000000000003</v>
      </c>
      <c r="G224" s="152">
        <f t="shared" si="23"/>
        <v>0.39</v>
      </c>
      <c r="H224" s="152">
        <f t="shared" si="23"/>
        <v>0.375</v>
      </c>
      <c r="I224" s="152">
        <f t="shared" si="23"/>
        <v>0.36</v>
      </c>
      <c r="J224" s="152">
        <f t="shared" si="23"/>
        <v>0.35</v>
      </c>
      <c r="K224" s="152">
        <f t="shared" si="23"/>
        <v>0.34</v>
      </c>
      <c r="L224" s="152">
        <f t="shared" si="23"/>
        <v>0.33500000000000002</v>
      </c>
      <c r="M224" s="152">
        <f t="shared" si="23"/>
        <v>0.33</v>
      </c>
      <c r="N224" s="152">
        <f t="shared" si="23"/>
        <v>0.32500000000000001</v>
      </c>
      <c r="O224" s="455">
        <f t="shared" si="23"/>
        <v>0.32</v>
      </c>
    </row>
    <row r="225" spans="1:15" x14ac:dyDescent="0.25">
      <c r="A225" s="443"/>
      <c r="B225" s="443" t="str">
        <f t="shared" si="20"/>
        <v>D</v>
      </c>
      <c r="C225" s="443">
        <f t="shared" si="21"/>
        <v>75</v>
      </c>
      <c r="D225" s="442">
        <f t="shared" si="21"/>
        <v>80</v>
      </c>
      <c r="E225" s="442">
        <f t="shared" si="21"/>
        <v>0.64</v>
      </c>
      <c r="F225" s="152">
        <f t="shared" ref="F225:O225" si="24">IF($G$120="p",F175,IF($G$120="L",F182,IF($G$120="m",F189)))</f>
        <v>0.63</v>
      </c>
      <c r="G225" s="152">
        <f t="shared" si="24"/>
        <v>0.62</v>
      </c>
      <c r="H225" s="152">
        <f t="shared" si="24"/>
        <v>0.61</v>
      </c>
      <c r="I225" s="152">
        <f t="shared" si="24"/>
        <v>0.6</v>
      </c>
      <c r="J225" s="152">
        <f t="shared" si="24"/>
        <v>0.59499999999999997</v>
      </c>
      <c r="K225" s="152">
        <f t="shared" si="24"/>
        <v>0.59</v>
      </c>
      <c r="L225" s="152">
        <f t="shared" si="24"/>
        <v>0.58499999999999996</v>
      </c>
      <c r="M225" s="152">
        <f t="shared" si="24"/>
        <v>0.57999999999999996</v>
      </c>
      <c r="N225" s="152">
        <f t="shared" si="24"/>
        <v>0.57499999999999996</v>
      </c>
      <c r="O225" s="455">
        <f t="shared" si="24"/>
        <v>0.56999999999999995</v>
      </c>
    </row>
    <row r="226" spans="1:15" x14ac:dyDescent="0.25">
      <c r="A226" s="443"/>
      <c r="B226" s="443" t="str">
        <f t="shared" si="20"/>
        <v>E</v>
      </c>
      <c r="C226" s="443">
        <f t="shared" si="21"/>
        <v>90</v>
      </c>
      <c r="D226" s="442">
        <f t="shared" si="21"/>
        <v>72</v>
      </c>
      <c r="E226" s="442">
        <f t="shared" si="21"/>
        <v>1</v>
      </c>
      <c r="F226" s="152">
        <f t="shared" ref="F226:O226" si="25">IF($G$120="p",F176,IF($G$120="L",F183,IF($G$120="m",F190)))</f>
        <v>1</v>
      </c>
      <c r="G226" s="152">
        <f t="shared" si="25"/>
        <v>1</v>
      </c>
      <c r="H226" s="152">
        <f t="shared" si="25"/>
        <v>1</v>
      </c>
      <c r="I226" s="152">
        <f t="shared" si="25"/>
        <v>1</v>
      </c>
      <c r="J226" s="152">
        <f t="shared" si="25"/>
        <v>1</v>
      </c>
      <c r="K226" s="152">
        <f t="shared" si="25"/>
        <v>1</v>
      </c>
      <c r="L226" s="152">
        <f t="shared" si="25"/>
        <v>1</v>
      </c>
      <c r="M226" s="152">
        <f t="shared" si="25"/>
        <v>1</v>
      </c>
      <c r="N226" s="152">
        <f t="shared" si="25"/>
        <v>1</v>
      </c>
      <c r="O226" s="455">
        <f t="shared" si="25"/>
        <v>1</v>
      </c>
    </row>
    <row r="227" spans="1:15" x14ac:dyDescent="0.25">
      <c r="A227" s="445"/>
      <c r="B227" s="445" t="str">
        <f t="shared" si="20"/>
        <v>F</v>
      </c>
      <c r="C227" s="445">
        <f>IF($G$120="p",C177,IF($G$120="L",C184,IF($G$120="m",C191)))</f>
        <v>100</v>
      </c>
      <c r="D227" s="444">
        <f>IF($G$120="p",D177,IF($G$120="L",D184,IF($G$120="m",D191)))</f>
        <v>0</v>
      </c>
      <c r="E227" s="444"/>
      <c r="F227" s="456"/>
      <c r="G227" s="456"/>
      <c r="H227" s="456"/>
      <c r="I227" s="456"/>
      <c r="J227" s="456"/>
      <c r="K227" s="454"/>
      <c r="L227" s="454"/>
      <c r="M227" s="454"/>
      <c r="N227" s="454"/>
      <c r="O227" s="473"/>
    </row>
    <row r="230" spans="1:15" x14ac:dyDescent="0.25">
      <c r="A230" t="s">
        <v>445</v>
      </c>
      <c r="E230" s="152"/>
      <c r="F230" s="152"/>
      <c r="G230" s="152"/>
    </row>
    <row r="231" spans="1:15" x14ac:dyDescent="0.25">
      <c r="A231" s="153" t="s">
        <v>447</v>
      </c>
      <c r="E231" s="152"/>
      <c r="F231" s="152"/>
      <c r="G231" s="152"/>
    </row>
    <row r="232" spans="1:15" x14ac:dyDescent="0.25">
      <c r="A232" s="162" t="s">
        <v>446</v>
      </c>
      <c r="B232" s="95" t="s">
        <v>143</v>
      </c>
      <c r="E232" s="152"/>
      <c r="F232" s="152"/>
      <c r="G232" s="152"/>
    </row>
    <row r="233" spans="1:15" x14ac:dyDescent="0.25">
      <c r="A233" s="95">
        <v>100</v>
      </c>
      <c r="B233" s="95">
        <v>0.83</v>
      </c>
      <c r="E233" s="35" t="s">
        <v>19</v>
      </c>
      <c r="F233" s="35" t="s">
        <v>143</v>
      </c>
      <c r="G233" s="152"/>
    </row>
    <row r="234" spans="1:15" x14ac:dyDescent="0.25">
      <c r="A234" s="95">
        <v>200</v>
      </c>
      <c r="B234" s="95">
        <v>0.87</v>
      </c>
      <c r="E234" s="35" t="s">
        <v>46</v>
      </c>
      <c r="F234" s="35">
        <v>0.91</v>
      </c>
      <c r="G234" s="152"/>
    </row>
    <row r="235" spans="1:15" x14ac:dyDescent="0.25">
      <c r="A235" s="95">
        <v>300</v>
      </c>
      <c r="B235" s="95">
        <v>0.9</v>
      </c>
      <c r="E235" s="35" t="s">
        <v>47</v>
      </c>
      <c r="F235" s="35">
        <v>0.92</v>
      </c>
      <c r="G235" s="152"/>
    </row>
    <row r="236" spans="1:15" x14ac:dyDescent="0.25">
      <c r="A236" s="95">
        <v>400</v>
      </c>
      <c r="B236" s="95">
        <v>0.91</v>
      </c>
      <c r="E236" s="35" t="s">
        <v>144</v>
      </c>
      <c r="F236" s="35">
        <v>0.94</v>
      </c>
      <c r="G236" s="152"/>
    </row>
    <row r="237" spans="1:15" x14ac:dyDescent="0.25">
      <c r="A237" s="95">
        <v>500</v>
      </c>
      <c r="B237" s="95">
        <v>0.91</v>
      </c>
      <c r="E237" s="35" t="s">
        <v>145</v>
      </c>
      <c r="F237" s="35">
        <v>0.95</v>
      </c>
      <c r="G237" s="152"/>
    </row>
    <row r="238" spans="1:15" x14ac:dyDescent="0.25">
      <c r="A238" s="95">
        <v>600</v>
      </c>
      <c r="B238" s="95">
        <v>0.92</v>
      </c>
      <c r="E238" s="35" t="s">
        <v>146</v>
      </c>
      <c r="F238" s="35">
        <v>1</v>
      </c>
      <c r="G238" s="152"/>
    </row>
    <row r="239" spans="1:15" x14ac:dyDescent="0.25">
      <c r="A239" s="95">
        <v>700</v>
      </c>
      <c r="B239" s="95">
        <v>0.92</v>
      </c>
      <c r="E239" s="152"/>
      <c r="F239" s="152"/>
      <c r="G239" s="152"/>
    </row>
    <row r="240" spans="1:15" x14ac:dyDescent="0.25">
      <c r="A240" s="95">
        <v>800</v>
      </c>
      <c r="B240" s="95">
        <v>0.93</v>
      </c>
      <c r="E240" s="152"/>
      <c r="F240" s="152"/>
      <c r="G240" s="152"/>
    </row>
    <row r="241" spans="1:7" x14ac:dyDescent="0.25">
      <c r="A241" s="95">
        <v>900</v>
      </c>
      <c r="B241" s="95">
        <v>0.93</v>
      </c>
      <c r="D241" s="152"/>
      <c r="E241" s="152"/>
      <c r="F241" s="152"/>
      <c r="G241" s="152"/>
    </row>
    <row r="242" spans="1:7" x14ac:dyDescent="0.25">
      <c r="A242" s="95">
        <v>1000</v>
      </c>
      <c r="B242" s="95">
        <v>0.93</v>
      </c>
      <c r="D242" s="152"/>
      <c r="E242" s="152"/>
      <c r="F242" s="152"/>
      <c r="G242" s="152"/>
    </row>
    <row r="243" spans="1:7" x14ac:dyDescent="0.25">
      <c r="A243" s="95">
        <v>1100</v>
      </c>
      <c r="B243" s="95">
        <v>0.94</v>
      </c>
      <c r="F243" s="152"/>
      <c r="G243" s="152"/>
    </row>
    <row r="244" spans="1:7" x14ac:dyDescent="0.25">
      <c r="A244" s="95">
        <v>1200</v>
      </c>
      <c r="B244" s="95">
        <v>0.94</v>
      </c>
      <c r="F244" s="152"/>
      <c r="G244" s="152"/>
    </row>
    <row r="245" spans="1:7" x14ac:dyDescent="0.25">
      <c r="A245" s="95">
        <v>1300</v>
      </c>
      <c r="B245" s="95">
        <v>0.94</v>
      </c>
      <c r="F245" s="152"/>
      <c r="G245" s="152"/>
    </row>
    <row r="246" spans="1:7" x14ac:dyDescent="0.25">
      <c r="A246" s="95">
        <v>1400</v>
      </c>
      <c r="B246" s="95">
        <v>0.94</v>
      </c>
      <c r="F246" s="152"/>
      <c r="G246" s="152"/>
    </row>
    <row r="247" spans="1:7" x14ac:dyDescent="0.25">
      <c r="A247" s="95">
        <v>1500</v>
      </c>
      <c r="B247" s="95">
        <v>0.95</v>
      </c>
      <c r="F247" s="152"/>
      <c r="G247" s="152"/>
    </row>
    <row r="248" spans="1:7" x14ac:dyDescent="0.25">
      <c r="A248" s="95">
        <v>1600</v>
      </c>
      <c r="B248" s="95">
        <v>0.95</v>
      </c>
      <c r="F248" s="152"/>
      <c r="G248" s="152"/>
    </row>
    <row r="249" spans="1:7" x14ac:dyDescent="0.25">
      <c r="A249" s="95">
        <v>1700</v>
      </c>
      <c r="B249" s="95">
        <v>0.95</v>
      </c>
      <c r="F249" s="152"/>
      <c r="G249" s="152"/>
    </row>
    <row r="250" spans="1:7" x14ac:dyDescent="0.25">
      <c r="A250" s="95">
        <v>1800</v>
      </c>
      <c r="B250" s="95">
        <v>0.95</v>
      </c>
      <c r="F250" s="152"/>
      <c r="G250" s="152"/>
    </row>
    <row r="251" spans="1:7" x14ac:dyDescent="0.25">
      <c r="A251" s="95">
        <v>1900</v>
      </c>
      <c r="B251" s="95">
        <v>0.96</v>
      </c>
      <c r="F251" s="152"/>
      <c r="G251" s="152"/>
    </row>
    <row r="252" spans="1:7" x14ac:dyDescent="0.25">
      <c r="F252" s="152"/>
      <c r="G252" s="152"/>
    </row>
    <row r="253" spans="1:7" x14ac:dyDescent="0.25">
      <c r="D253" s="152"/>
      <c r="E253" s="152"/>
      <c r="F253" s="152"/>
      <c r="G253" s="152"/>
    </row>
    <row r="254" spans="1:7" x14ac:dyDescent="0.25">
      <c r="D254" s="152"/>
      <c r="E254" s="152"/>
      <c r="F254" s="152"/>
      <c r="G254" s="152"/>
    </row>
    <row r="255" spans="1:7" x14ac:dyDescent="0.25">
      <c r="D255" s="152"/>
      <c r="E255" s="152"/>
      <c r="F255" s="152"/>
      <c r="G255" s="152"/>
    </row>
    <row r="256" spans="1:7" x14ac:dyDescent="0.25">
      <c r="A256" t="s">
        <v>439</v>
      </c>
      <c r="D256" s="152"/>
      <c r="E256" s="152"/>
      <c r="F256" s="152"/>
      <c r="G256" s="152"/>
    </row>
    <row r="257" spans="1:9" x14ac:dyDescent="0.25">
      <c r="A257" s="174" t="s">
        <v>440</v>
      </c>
      <c r="B257" s="396"/>
      <c r="C257" s="95" t="s">
        <v>441</v>
      </c>
      <c r="D257" s="35" t="s">
        <v>442</v>
      </c>
      <c r="E257" s="152"/>
      <c r="F257" s="152"/>
      <c r="G257" s="152"/>
    </row>
    <row r="258" spans="1:9" x14ac:dyDescent="0.25">
      <c r="A258" s="385">
        <v>100</v>
      </c>
      <c r="B258" s="477">
        <v>0</v>
      </c>
      <c r="C258" s="443">
        <v>0.71</v>
      </c>
      <c r="D258" s="443">
        <v>0.57999999999999996</v>
      </c>
      <c r="E258" s="152"/>
      <c r="F258" s="152"/>
      <c r="G258" s="152"/>
    </row>
    <row r="259" spans="1:9" x14ac:dyDescent="0.25">
      <c r="A259" s="385">
        <v>90</v>
      </c>
      <c r="B259" s="477">
        <f>100-A259</f>
        <v>10</v>
      </c>
      <c r="C259" s="443">
        <v>0.75</v>
      </c>
      <c r="D259" s="443">
        <v>0.64</v>
      </c>
      <c r="E259" s="152"/>
      <c r="F259" s="152"/>
      <c r="G259" s="152"/>
    </row>
    <row r="260" spans="1:9" x14ac:dyDescent="0.25">
      <c r="A260" s="385">
        <v>80</v>
      </c>
      <c r="B260" s="477">
        <f t="shared" ref="B260:B265" si="26">100-A260</f>
        <v>20</v>
      </c>
      <c r="C260" s="443">
        <v>0.83</v>
      </c>
      <c r="D260" s="443">
        <v>0.7</v>
      </c>
      <c r="E260" s="152"/>
      <c r="F260" s="152"/>
      <c r="G260" s="152"/>
    </row>
    <row r="261" spans="1:9" x14ac:dyDescent="0.25">
      <c r="A261" s="385">
        <v>70</v>
      </c>
      <c r="B261" s="477">
        <f t="shared" si="26"/>
        <v>30</v>
      </c>
      <c r="C261" s="443">
        <v>0.89</v>
      </c>
      <c r="D261" s="443">
        <v>0.78</v>
      </c>
      <c r="E261" s="152"/>
      <c r="F261" s="152"/>
      <c r="G261" s="152"/>
    </row>
    <row r="262" spans="1:9" x14ac:dyDescent="0.25">
      <c r="A262" s="385">
        <v>60</v>
      </c>
      <c r="B262" s="477">
        <f t="shared" si="26"/>
        <v>40</v>
      </c>
      <c r="C262" s="443">
        <v>0.94</v>
      </c>
      <c r="D262" s="443">
        <v>0.87</v>
      </c>
      <c r="E262" s="152"/>
      <c r="F262" s="152"/>
      <c r="G262" s="152"/>
    </row>
    <row r="263" spans="1:9" x14ac:dyDescent="0.25">
      <c r="A263" s="385">
        <v>50</v>
      </c>
      <c r="B263" s="477">
        <f t="shared" si="26"/>
        <v>50</v>
      </c>
      <c r="C263" s="443">
        <v>1</v>
      </c>
      <c r="D263" s="443">
        <v>1</v>
      </c>
      <c r="E263" s="152"/>
      <c r="F263" s="152"/>
      <c r="G263" s="152"/>
    </row>
    <row r="264" spans="1:9" x14ac:dyDescent="0.25">
      <c r="A264" s="385">
        <v>40</v>
      </c>
      <c r="B264" s="477">
        <f t="shared" si="26"/>
        <v>60</v>
      </c>
      <c r="C264" s="443"/>
      <c r="D264" s="443">
        <v>1.2</v>
      </c>
      <c r="E264" s="152"/>
      <c r="F264" s="152"/>
      <c r="G264" s="152"/>
    </row>
    <row r="265" spans="1:9" x14ac:dyDescent="0.25">
      <c r="A265" s="451">
        <v>30</v>
      </c>
      <c r="B265" s="478">
        <f t="shared" si="26"/>
        <v>70</v>
      </c>
      <c r="C265" s="445"/>
      <c r="D265" s="445">
        <v>1.5</v>
      </c>
      <c r="E265" s="152"/>
      <c r="F265" s="152"/>
      <c r="G265" s="152"/>
    </row>
    <row r="267" spans="1:9" x14ac:dyDescent="0.25">
      <c r="B267" s="174" t="s">
        <v>452</v>
      </c>
      <c r="C267" s="402"/>
      <c r="D267" s="402"/>
      <c r="E267" s="402"/>
      <c r="F267" s="402"/>
      <c r="G267" s="402"/>
      <c r="H267" s="402"/>
      <c r="I267" s="396"/>
    </row>
    <row r="268" spans="1:9" x14ac:dyDescent="0.25">
      <c r="A268" s="153" t="s">
        <v>451</v>
      </c>
      <c r="B268" s="174">
        <v>3.5</v>
      </c>
      <c r="C268" s="396"/>
      <c r="D268" s="174">
        <v>3.3</v>
      </c>
      <c r="E268" s="396"/>
      <c r="F268" s="174">
        <v>3</v>
      </c>
      <c r="G268" s="396"/>
      <c r="H268" s="174">
        <v>2.7</v>
      </c>
      <c r="I268" s="396"/>
    </row>
    <row r="269" spans="1:9" x14ac:dyDescent="0.25">
      <c r="A269" s="162" t="s">
        <v>72</v>
      </c>
      <c r="B269" s="35" t="s">
        <v>453</v>
      </c>
      <c r="C269" s="35" t="s">
        <v>146</v>
      </c>
      <c r="D269" s="35" t="s">
        <v>453</v>
      </c>
      <c r="E269" s="35" t="s">
        <v>146</v>
      </c>
      <c r="F269" s="35" t="s">
        <v>453</v>
      </c>
      <c r="G269" s="35" t="s">
        <v>146</v>
      </c>
      <c r="H269" s="35" t="s">
        <v>453</v>
      </c>
      <c r="I269" s="35" t="s">
        <v>146</v>
      </c>
    </row>
    <row r="270" spans="1:9" x14ac:dyDescent="0.25">
      <c r="A270" s="95">
        <v>1.8</v>
      </c>
      <c r="B270" s="35">
        <v>1</v>
      </c>
      <c r="C270" s="35">
        <v>1</v>
      </c>
      <c r="D270" s="35">
        <v>0.93</v>
      </c>
      <c r="E270" s="35">
        <v>0.94</v>
      </c>
      <c r="F270" s="35">
        <v>0.84</v>
      </c>
      <c r="G270" s="35">
        <v>0.87</v>
      </c>
      <c r="H270" s="35">
        <v>0.7</v>
      </c>
      <c r="I270" s="35">
        <v>0.76</v>
      </c>
    </row>
    <row r="271" spans="1:9" x14ac:dyDescent="0.25">
      <c r="A271" s="95">
        <v>1.2</v>
      </c>
      <c r="B271" s="35">
        <v>0.92</v>
      </c>
      <c r="C271" s="35">
        <v>0.97</v>
      </c>
      <c r="D271" s="35">
        <v>0.85</v>
      </c>
      <c r="E271" s="35">
        <v>0.92</v>
      </c>
      <c r="F271" s="35">
        <v>0.77</v>
      </c>
      <c r="G271" s="35">
        <v>0.85</v>
      </c>
      <c r="H271" s="35">
        <v>0.65</v>
      </c>
      <c r="I271" s="35">
        <v>0.74</v>
      </c>
    </row>
    <row r="272" spans="1:9" x14ac:dyDescent="0.25">
      <c r="A272" s="95">
        <v>0.6</v>
      </c>
      <c r="B272" s="35">
        <v>0.81</v>
      </c>
      <c r="C272" s="35">
        <v>0.93</v>
      </c>
      <c r="D272" s="35">
        <v>0.75</v>
      </c>
      <c r="E272" s="35">
        <v>0.88</v>
      </c>
      <c r="F272" s="35">
        <v>0.68</v>
      </c>
      <c r="G272" s="35">
        <v>0.81</v>
      </c>
      <c r="H272" s="35">
        <v>0.56999999999999995</v>
      </c>
      <c r="I272" s="35">
        <v>0.7</v>
      </c>
    </row>
    <row r="273" spans="1:9" x14ac:dyDescent="0.25">
      <c r="A273" s="95">
        <v>0</v>
      </c>
      <c r="B273" s="35">
        <v>0.7</v>
      </c>
      <c r="C273" s="35">
        <v>0.88</v>
      </c>
      <c r="D273" s="35">
        <v>0.65</v>
      </c>
      <c r="E273" s="35">
        <v>0.82</v>
      </c>
      <c r="F273" s="35">
        <v>0.57999999999999996</v>
      </c>
      <c r="G273" s="35">
        <v>0.75</v>
      </c>
      <c r="H273" s="35">
        <v>0.49</v>
      </c>
      <c r="I273" s="35">
        <v>0.66</v>
      </c>
    </row>
    <row r="275" spans="1:9" x14ac:dyDescent="0.25">
      <c r="B275" s="174" t="s">
        <v>167</v>
      </c>
      <c r="C275" s="396"/>
      <c r="E275" s="174" t="s">
        <v>167</v>
      </c>
      <c r="F275" s="396"/>
      <c r="H275" s="174" t="s">
        <v>167</v>
      </c>
      <c r="I275" s="396"/>
    </row>
    <row r="276" spans="1:9" x14ac:dyDescent="0.25">
      <c r="A276" s="153" t="s">
        <v>451</v>
      </c>
      <c r="B276" s="474">
        <f>IF($E$131&lt;=2.7,H268,IF(AND($E$131&gt;2.7,$E$131&lt;=3),F268,IF(AND($E$131&gt;3,$E$131&lt;=3.3),D268,IF($E$131&gt;3.3,B268))))</f>
        <v>3.3</v>
      </c>
      <c r="C276" s="35"/>
      <c r="D276" s="153" t="s">
        <v>451</v>
      </c>
      <c r="E276" s="474">
        <f>IF($F$131&lt;=2.7,H268,IF(AND($F$131&gt;2.7,$F$131&lt;=3),F268,IF(AND($F$131&gt;3,$F$131&lt;=3.3),D268,IF($F$131&gt;3.3,B268))))</f>
        <v>3.5</v>
      </c>
      <c r="F276" s="35"/>
      <c r="G276" s="153" t="s">
        <v>451</v>
      </c>
      <c r="H276" s="474">
        <f>IF($G$131&lt;=2.7,H268,IF(AND($G$131&gt;2.7,$G$131&lt;=3),F268,IF(AND($G$131&gt;3,$G$131&lt;=3.3),D268,IF($G$131&gt;3.3,B268))))</f>
        <v>3.3</v>
      </c>
      <c r="I276" s="35">
        <f>IF($G$131&lt;=2.7,I268,IF(AND($G$131&gt;2.7,$G$131&lt;=3),G268,IF(AND($G$131&gt;3,$G$131&lt;=3.3),E268,IF($G$131&gt;3.3,C268))))</f>
        <v>0</v>
      </c>
    </row>
    <row r="277" spans="1:9" x14ac:dyDescent="0.25">
      <c r="A277" s="162" t="s">
        <v>72</v>
      </c>
      <c r="B277" s="474" t="str">
        <f t="shared" ref="B277:C281" si="27">IF($E$131&lt;=2.7,H269,IF(AND($E$131&gt;2.7,$E$131&lt;=3),F269,IF(AND($E$131&gt;3,$E$131&lt;=3.3),D269,IF($E$131&gt;3.3,B269))))</f>
        <v>A-D</v>
      </c>
      <c r="C277" s="35" t="str">
        <f t="shared" si="27"/>
        <v>E</v>
      </c>
      <c r="D277" s="162" t="s">
        <v>72</v>
      </c>
      <c r="E277" s="474" t="str">
        <f t="shared" ref="E277:F281" si="28">IF($F$131&lt;=2.7,H269,IF(AND($F$131&gt;2.7,$F$131&lt;=3),F269,IF(AND($F$131&gt;3,$F$131&lt;=3.3),D269,IF($F$131&gt;3.3,B269))))</f>
        <v>A-D</v>
      </c>
      <c r="F277" s="35" t="str">
        <f t="shared" si="28"/>
        <v>E</v>
      </c>
      <c r="G277" s="162" t="s">
        <v>72</v>
      </c>
      <c r="H277" s="474" t="str">
        <f t="shared" ref="H277:I281" si="29">IF($G$131&lt;=2.7,H269,IF(AND($G$131&gt;2.7,$G$131&lt;=3),F269,IF(AND($G$131&gt;3,$G$131&lt;=3.3),D269,IF($G$131&gt;3.3,B269))))</f>
        <v>A-D</v>
      </c>
      <c r="I277" s="35" t="str">
        <f t="shared" si="29"/>
        <v>E</v>
      </c>
    </row>
    <row r="278" spans="1:9" x14ac:dyDescent="0.25">
      <c r="A278" s="35">
        <v>1.8</v>
      </c>
      <c r="B278" s="474">
        <f t="shared" si="27"/>
        <v>0.93</v>
      </c>
      <c r="C278" s="35">
        <f t="shared" si="27"/>
        <v>0.94</v>
      </c>
      <c r="D278" s="35">
        <v>1.8</v>
      </c>
      <c r="E278" s="474">
        <f t="shared" si="28"/>
        <v>1</v>
      </c>
      <c r="F278" s="35">
        <f t="shared" si="28"/>
        <v>1</v>
      </c>
      <c r="G278" s="35">
        <v>1.8</v>
      </c>
      <c r="H278" s="474">
        <f t="shared" si="29"/>
        <v>0.93</v>
      </c>
      <c r="I278" s="35">
        <f t="shared" si="29"/>
        <v>0.94</v>
      </c>
    </row>
    <row r="279" spans="1:9" x14ac:dyDescent="0.25">
      <c r="A279" s="35">
        <v>1.2</v>
      </c>
      <c r="B279" s="474">
        <f t="shared" si="27"/>
        <v>0.85</v>
      </c>
      <c r="C279" s="35">
        <f t="shared" si="27"/>
        <v>0.92</v>
      </c>
      <c r="D279" s="35">
        <v>1.2</v>
      </c>
      <c r="E279" s="474">
        <f t="shared" si="28"/>
        <v>0.92</v>
      </c>
      <c r="F279" s="35">
        <f t="shared" si="28"/>
        <v>0.97</v>
      </c>
      <c r="G279" s="35">
        <v>1.2</v>
      </c>
      <c r="H279" s="474">
        <f t="shared" si="29"/>
        <v>0.85</v>
      </c>
      <c r="I279" s="35">
        <f t="shared" si="29"/>
        <v>0.92</v>
      </c>
    </row>
    <row r="280" spans="1:9" x14ac:dyDescent="0.25">
      <c r="A280" s="35">
        <v>0.6</v>
      </c>
      <c r="B280" s="474">
        <f t="shared" si="27"/>
        <v>0.75</v>
      </c>
      <c r="C280" s="35">
        <f t="shared" si="27"/>
        <v>0.88</v>
      </c>
      <c r="D280" s="35">
        <v>0.6</v>
      </c>
      <c r="E280" s="474">
        <f t="shared" si="28"/>
        <v>0.81</v>
      </c>
      <c r="F280" s="35">
        <f t="shared" si="28"/>
        <v>0.93</v>
      </c>
      <c r="G280" s="35">
        <v>0.6</v>
      </c>
      <c r="H280" s="474">
        <f t="shared" si="29"/>
        <v>0.75</v>
      </c>
      <c r="I280" s="35">
        <f t="shared" si="29"/>
        <v>0.88</v>
      </c>
    </row>
    <row r="281" spans="1:9" x14ac:dyDescent="0.25">
      <c r="A281" s="35">
        <v>0</v>
      </c>
      <c r="B281" s="474">
        <f t="shared" si="27"/>
        <v>0.65</v>
      </c>
      <c r="C281" s="35">
        <f t="shared" si="27"/>
        <v>0.82</v>
      </c>
      <c r="D281" s="35">
        <v>0</v>
      </c>
      <c r="E281" s="474">
        <f t="shared" si="28"/>
        <v>0.7</v>
      </c>
      <c r="F281" s="35">
        <f t="shared" si="28"/>
        <v>0.88</v>
      </c>
      <c r="G281" s="35">
        <v>0</v>
      </c>
      <c r="H281" s="474">
        <f t="shared" si="29"/>
        <v>0.65</v>
      </c>
      <c r="I281" s="35">
        <f t="shared" si="29"/>
        <v>0.82</v>
      </c>
    </row>
    <row r="283" spans="1:9" x14ac:dyDescent="0.25">
      <c r="B283" s="174" t="s">
        <v>167</v>
      </c>
      <c r="C283" s="396"/>
      <c r="E283" s="174" t="s">
        <v>167</v>
      </c>
      <c r="F283" s="396"/>
      <c r="H283" s="174" t="s">
        <v>167</v>
      </c>
      <c r="I283" s="396"/>
    </row>
    <row r="284" spans="1:9" x14ac:dyDescent="0.25">
      <c r="A284" s="153" t="s">
        <v>451</v>
      </c>
      <c r="B284" s="474"/>
      <c r="C284" s="35"/>
      <c r="D284" s="153" t="s">
        <v>451</v>
      </c>
      <c r="E284" s="474"/>
      <c r="F284" s="35"/>
      <c r="G284" s="153" t="s">
        <v>451</v>
      </c>
      <c r="H284" s="474"/>
      <c r="I284" s="35"/>
    </row>
    <row r="285" spans="1:9" x14ac:dyDescent="0.25">
      <c r="A285" s="162" t="s">
        <v>72</v>
      </c>
      <c r="B285" s="474" t="s">
        <v>453</v>
      </c>
      <c r="C285" s="35" t="s">
        <v>146</v>
      </c>
      <c r="D285" s="162" t="s">
        <v>72</v>
      </c>
      <c r="E285" s="474" t="s">
        <v>453</v>
      </c>
      <c r="F285" s="35" t="s">
        <v>146</v>
      </c>
      <c r="G285" s="162" t="s">
        <v>72</v>
      </c>
      <c r="H285" s="474" t="s">
        <v>453</v>
      </c>
      <c r="I285" s="35" t="s">
        <v>146</v>
      </c>
    </row>
    <row r="286" spans="1:9" x14ac:dyDescent="0.25">
      <c r="A286" s="35">
        <f>IF($E$132=0,A281,IF(AND($E$132&gt;0,$E$132&lt;=0.6),A280,IF(AND($E$132&gt;0.6,$E$132&lt;=1.2),A279,IF($E$132&gt;1.2,A278))))</f>
        <v>1.2</v>
      </c>
      <c r="B286" s="35">
        <f>IF($E$132=0,B281,IF(AND($E$132&gt;0,$E$132&lt;=0.6),B280,IF(AND($E$132&gt;0.6,$E$132&lt;=1.2),B279,IF($E$132&gt;1.2,B278))))</f>
        <v>0.85</v>
      </c>
      <c r="C286" s="35">
        <f>IF($E$132=0,C281,IF(AND($E$132&gt;0,$E$132&lt;=0.6),C280,IF(AND($E$132&gt;0.6,$E$132&lt;=1.2),C279,IF($E$132&gt;1.2,C278))))</f>
        <v>0.92</v>
      </c>
      <c r="D286" s="35">
        <f>IF($F$132=0,D281,IF(AND($F$132&gt;0,$F$132&lt;=0.6),D280,IF(AND($F$132&gt;0.6,$F$132&lt;=1.2),D279,IF($F$132&gt;1.2,D278))))</f>
        <v>1.8</v>
      </c>
      <c r="E286" s="35">
        <f>IF($F$132=0,E281,IF(AND($F$132&gt;0,$F$132&lt;=0.6),E280,IF(AND($F$132&gt;0.6,$F$132&lt;=1.2),E279,IF($F$132&gt;1.2,E278))))</f>
        <v>1</v>
      </c>
      <c r="F286" s="35">
        <f>IF($F$132=0,F281,IF(AND($F$132&gt;0,$F$132&lt;=0.6),F280,IF(AND($F$132&gt;0.6,$F$132&lt;=1.2),F279,IF($F$132&gt;1.2,F278))))</f>
        <v>1</v>
      </c>
      <c r="G286" s="35">
        <f>IF($G$132=0,G281,IF(AND($G$132&gt;0,$G$132&lt;=0.6),G280,IF(AND($G$132&gt;0.6,$G$132&lt;=1.2),G279,IF($G$132&gt;1.2,G278))))</f>
        <v>1.2</v>
      </c>
      <c r="H286" s="35">
        <f>IF($G$132=0,H281,IF(AND($G$132&gt;0,$G$132&lt;=0.6),H280,IF(AND($G$132&gt;0.6,$G$132&lt;=1.2),H279,IF($G$132&gt;1.2,H278))))</f>
        <v>0.85</v>
      </c>
      <c r="I286" s="35">
        <f>IF($G$132=0,I281,IF(AND($G$132&gt;0,$G$132&lt;=0.6),I280,IF(AND($G$132&gt;0.6,$G$132&lt;=1.2),I279,IF($G$132&gt;1.2,I278))))</f>
        <v>0.92</v>
      </c>
    </row>
    <row r="288" spans="1:9" x14ac:dyDescent="0.25">
      <c r="A288" t="s">
        <v>460</v>
      </c>
    </row>
    <row r="289" spans="1:9" x14ac:dyDescent="0.25">
      <c r="A289" s="95" t="s">
        <v>392</v>
      </c>
      <c r="B289" s="95" t="s">
        <v>396</v>
      </c>
      <c r="C289" s="95" t="s">
        <v>19</v>
      </c>
      <c r="D289" s="95" t="s">
        <v>461</v>
      </c>
      <c r="E289" s="95" t="s">
        <v>400</v>
      </c>
      <c r="F289" s="95" t="s">
        <v>401</v>
      </c>
    </row>
    <row r="290" spans="1:9" x14ac:dyDescent="0.25">
      <c r="A290" s="153" t="s">
        <v>462</v>
      </c>
      <c r="B290" s="153" t="s">
        <v>464</v>
      </c>
      <c r="C290" s="153" t="s">
        <v>46</v>
      </c>
      <c r="D290" s="446">
        <v>2</v>
      </c>
      <c r="E290" s="447">
        <v>4</v>
      </c>
      <c r="F290" s="448">
        <v>7</v>
      </c>
    </row>
    <row r="291" spans="1:9" x14ac:dyDescent="0.25">
      <c r="A291" s="452"/>
      <c r="B291" s="452"/>
      <c r="C291" s="452" t="s">
        <v>465</v>
      </c>
      <c r="D291" s="385">
        <v>2.2000000000000002</v>
      </c>
      <c r="E291" s="108">
        <v>5</v>
      </c>
      <c r="F291" s="482">
        <v>10</v>
      </c>
    </row>
    <row r="292" spans="1:9" x14ac:dyDescent="0.25">
      <c r="A292" s="162"/>
      <c r="B292" s="162"/>
      <c r="C292" s="162" t="s">
        <v>466</v>
      </c>
      <c r="D292" s="451">
        <v>2</v>
      </c>
      <c r="E292" s="454">
        <v>5</v>
      </c>
      <c r="F292" s="473">
        <v>12</v>
      </c>
    </row>
    <row r="293" spans="1:9" x14ac:dyDescent="0.25">
      <c r="A293" s="153" t="s">
        <v>463</v>
      </c>
      <c r="B293" s="153" t="s">
        <v>101</v>
      </c>
      <c r="C293" s="153" t="s">
        <v>46</v>
      </c>
      <c r="D293" s="446">
        <v>2.2000000000000002</v>
      </c>
      <c r="E293" s="447">
        <v>3.2</v>
      </c>
      <c r="F293" s="448">
        <v>5</v>
      </c>
    </row>
    <row r="294" spans="1:9" x14ac:dyDescent="0.25">
      <c r="A294" s="452"/>
      <c r="B294" s="452"/>
      <c r="C294" s="452" t="s">
        <v>465</v>
      </c>
      <c r="D294" s="385">
        <v>2.5</v>
      </c>
      <c r="E294" s="108">
        <v>3.9</v>
      </c>
      <c r="F294" s="482">
        <v>5.2</v>
      </c>
    </row>
    <row r="295" spans="1:9" x14ac:dyDescent="0.25">
      <c r="A295" s="162"/>
      <c r="B295" s="162"/>
      <c r="C295" s="162" t="s">
        <v>466</v>
      </c>
      <c r="D295" s="451">
        <v>1.6</v>
      </c>
      <c r="E295" s="454">
        <v>3.3</v>
      </c>
      <c r="F295" s="473">
        <v>5.2</v>
      </c>
    </row>
    <row r="296" spans="1:9" x14ac:dyDescent="0.25">
      <c r="A296" s="153" t="s">
        <v>394</v>
      </c>
      <c r="B296" s="153" t="s">
        <v>467</v>
      </c>
      <c r="C296" s="153" t="s">
        <v>46</v>
      </c>
      <c r="D296" s="446">
        <v>1.8</v>
      </c>
      <c r="E296" s="447">
        <v>3</v>
      </c>
      <c r="F296" s="448">
        <v>5.7</v>
      </c>
    </row>
    <row r="297" spans="1:9" x14ac:dyDescent="0.25">
      <c r="A297" s="452"/>
      <c r="B297" s="452"/>
      <c r="C297" s="452" t="s">
        <v>465</v>
      </c>
      <c r="D297" s="385">
        <v>2</v>
      </c>
      <c r="E297" s="108">
        <v>3.4</v>
      </c>
      <c r="F297" s="482">
        <v>6</v>
      </c>
    </row>
    <row r="298" spans="1:9" x14ac:dyDescent="0.25">
      <c r="A298" s="162"/>
      <c r="B298" s="162"/>
      <c r="C298" s="162" t="s">
        <v>466</v>
      </c>
      <c r="D298" s="451">
        <v>1.6</v>
      </c>
      <c r="E298" s="454">
        <v>2.9</v>
      </c>
      <c r="F298" s="473">
        <v>6.5</v>
      </c>
    </row>
    <row r="300" spans="1:9" x14ac:dyDescent="0.25">
      <c r="A300" s="95" t="s">
        <v>396</v>
      </c>
      <c r="B300" s="174" t="s">
        <v>19</v>
      </c>
      <c r="C300" s="95" t="str">
        <f t="shared" ref="C300:C309" si="30">IF($E$120="P",D289,IF($E$120="L",E289,IF($E$120="M",F289)))</f>
        <v xml:space="preserve">Plano </v>
      </c>
      <c r="D300" s="95" t="s">
        <v>396</v>
      </c>
      <c r="E300" s="174" t="s">
        <v>19</v>
      </c>
      <c r="F300" s="95" t="str">
        <f>IF($F$120="P",D289,IF($F$120="L",E289,IF($F$120="M",F289)))</f>
        <v xml:space="preserve">Plano </v>
      </c>
      <c r="G300" s="95" t="s">
        <v>396</v>
      </c>
      <c r="H300" s="174" t="s">
        <v>19</v>
      </c>
      <c r="I300" s="95" t="str">
        <f>IF($G$120="P",D289,IF($G$120="L",E289,IF($G$120="M",F289)))</f>
        <v xml:space="preserve">Plano </v>
      </c>
    </row>
    <row r="301" spans="1:9" x14ac:dyDescent="0.25">
      <c r="A301" s="153" t="s">
        <v>464</v>
      </c>
      <c r="B301" s="446" t="s">
        <v>46</v>
      </c>
      <c r="C301" s="153">
        <f t="shared" si="30"/>
        <v>2</v>
      </c>
      <c r="D301" s="153" t="s">
        <v>464</v>
      </c>
      <c r="E301" s="446" t="s">
        <v>46</v>
      </c>
      <c r="F301" s="153">
        <f t="shared" ref="F301:F309" si="31">IF($F$120="P",D290,IF($F$120="L",E290,IF($F$120="M",F290)))</f>
        <v>2</v>
      </c>
      <c r="G301" s="153" t="s">
        <v>464</v>
      </c>
      <c r="H301" s="446" t="s">
        <v>46</v>
      </c>
      <c r="I301" s="153">
        <f t="shared" ref="I301:I309" si="32">IF($G$120="P",D290,IF($G$120="L",E290,IF($G$120="M",F290)))</f>
        <v>2</v>
      </c>
    </row>
    <row r="302" spans="1:9" x14ac:dyDescent="0.25">
      <c r="A302" s="452"/>
      <c r="B302" s="385" t="s">
        <v>465</v>
      </c>
      <c r="C302" s="452">
        <f t="shared" si="30"/>
        <v>2.2000000000000002</v>
      </c>
      <c r="D302" s="452"/>
      <c r="E302" s="385" t="s">
        <v>465</v>
      </c>
      <c r="F302" s="452">
        <f t="shared" si="31"/>
        <v>2.2000000000000002</v>
      </c>
      <c r="G302" s="452"/>
      <c r="H302" s="385" t="s">
        <v>465</v>
      </c>
      <c r="I302" s="452">
        <f t="shared" si="32"/>
        <v>2.2000000000000002</v>
      </c>
    </row>
    <row r="303" spans="1:9" x14ac:dyDescent="0.25">
      <c r="A303" s="162"/>
      <c r="B303" s="451" t="s">
        <v>466</v>
      </c>
      <c r="C303" s="162">
        <f t="shared" si="30"/>
        <v>2</v>
      </c>
      <c r="D303" s="162"/>
      <c r="E303" s="451" t="s">
        <v>466</v>
      </c>
      <c r="F303" s="162">
        <f t="shared" si="31"/>
        <v>2</v>
      </c>
      <c r="G303" s="162"/>
      <c r="H303" s="451" t="s">
        <v>466</v>
      </c>
      <c r="I303" s="162">
        <f t="shared" si="32"/>
        <v>2</v>
      </c>
    </row>
    <row r="304" spans="1:9" x14ac:dyDescent="0.25">
      <c r="A304" s="153" t="s">
        <v>101</v>
      </c>
      <c r="B304" s="446" t="s">
        <v>46</v>
      </c>
      <c r="C304" s="153">
        <f t="shared" si="30"/>
        <v>2.2000000000000002</v>
      </c>
      <c r="D304" s="153" t="s">
        <v>101</v>
      </c>
      <c r="E304" s="446" t="s">
        <v>46</v>
      </c>
      <c r="F304" s="153">
        <f t="shared" si="31"/>
        <v>2.2000000000000002</v>
      </c>
      <c r="G304" s="153" t="s">
        <v>101</v>
      </c>
      <c r="H304" s="446" t="s">
        <v>46</v>
      </c>
      <c r="I304" s="153">
        <f t="shared" si="32"/>
        <v>2.2000000000000002</v>
      </c>
    </row>
    <row r="305" spans="1:13" x14ac:dyDescent="0.25">
      <c r="A305" s="452"/>
      <c r="B305" s="385" t="s">
        <v>465</v>
      </c>
      <c r="C305" s="452">
        <f t="shared" si="30"/>
        <v>2.5</v>
      </c>
      <c r="D305" s="452"/>
      <c r="E305" s="385" t="s">
        <v>465</v>
      </c>
      <c r="F305" s="452">
        <f t="shared" si="31"/>
        <v>2.5</v>
      </c>
      <c r="G305" s="452"/>
      <c r="H305" s="385" t="s">
        <v>465</v>
      </c>
      <c r="I305" s="452">
        <f t="shared" si="32"/>
        <v>2.5</v>
      </c>
    </row>
    <row r="306" spans="1:13" x14ac:dyDescent="0.25">
      <c r="A306" s="162"/>
      <c r="B306" s="451" t="s">
        <v>466</v>
      </c>
      <c r="C306" s="162">
        <f t="shared" si="30"/>
        <v>1.6</v>
      </c>
      <c r="D306" s="162"/>
      <c r="E306" s="451" t="s">
        <v>466</v>
      </c>
      <c r="F306" s="162">
        <f t="shared" si="31"/>
        <v>1.6</v>
      </c>
      <c r="G306" s="162"/>
      <c r="H306" s="451" t="s">
        <v>466</v>
      </c>
      <c r="I306" s="162">
        <f t="shared" si="32"/>
        <v>1.6</v>
      </c>
    </row>
    <row r="307" spans="1:13" x14ac:dyDescent="0.25">
      <c r="A307" s="153" t="s">
        <v>467</v>
      </c>
      <c r="B307" s="446" t="s">
        <v>46</v>
      </c>
      <c r="C307" s="153">
        <f t="shared" si="30"/>
        <v>1.8</v>
      </c>
      <c r="D307" s="153" t="s">
        <v>467</v>
      </c>
      <c r="E307" s="446" t="s">
        <v>46</v>
      </c>
      <c r="F307" s="153">
        <f t="shared" si="31"/>
        <v>1.8</v>
      </c>
      <c r="G307" s="153" t="s">
        <v>467</v>
      </c>
      <c r="H307" s="446" t="s">
        <v>46</v>
      </c>
      <c r="I307" s="153">
        <f t="shared" si="32"/>
        <v>1.8</v>
      </c>
    </row>
    <row r="308" spans="1:13" x14ac:dyDescent="0.25">
      <c r="A308" s="452"/>
      <c r="B308" s="385" t="s">
        <v>465</v>
      </c>
      <c r="C308" s="452">
        <f t="shared" si="30"/>
        <v>2</v>
      </c>
      <c r="D308" s="452"/>
      <c r="E308" s="385" t="s">
        <v>465</v>
      </c>
      <c r="F308" s="452">
        <f t="shared" si="31"/>
        <v>2</v>
      </c>
      <c r="G308" s="452"/>
      <c r="H308" s="385" t="s">
        <v>465</v>
      </c>
      <c r="I308" s="452">
        <f t="shared" si="32"/>
        <v>2</v>
      </c>
    </row>
    <row r="309" spans="1:13" x14ac:dyDescent="0.25">
      <c r="A309" s="162"/>
      <c r="B309" s="451" t="s">
        <v>466</v>
      </c>
      <c r="C309" s="162">
        <f t="shared" si="30"/>
        <v>1.6</v>
      </c>
      <c r="D309" s="162"/>
      <c r="E309" s="451" t="s">
        <v>466</v>
      </c>
      <c r="F309" s="162">
        <f t="shared" si="31"/>
        <v>1.6</v>
      </c>
      <c r="G309" s="162"/>
      <c r="H309" s="451" t="s">
        <v>466</v>
      </c>
      <c r="I309" s="162">
        <f t="shared" si="32"/>
        <v>1.6</v>
      </c>
    </row>
    <row r="312" spans="1:13" x14ac:dyDescent="0.25">
      <c r="A312" s="105" t="s">
        <v>444</v>
      </c>
      <c r="B312" s="105" t="s">
        <v>143</v>
      </c>
      <c r="C312" s="105" t="s">
        <v>480</v>
      </c>
      <c r="D312" s="105" t="s">
        <v>481</v>
      </c>
      <c r="E312" s="487" t="s">
        <v>482</v>
      </c>
      <c r="F312" s="105" t="s">
        <v>483</v>
      </c>
      <c r="G312" s="105" t="s">
        <v>143</v>
      </c>
      <c r="H312" s="169" t="s">
        <v>380</v>
      </c>
      <c r="I312" s="151" t="s">
        <v>19</v>
      </c>
      <c r="J312" s="125" t="s">
        <v>20</v>
      </c>
      <c r="M312" s="253"/>
    </row>
    <row r="313" spans="1:13" x14ac:dyDescent="0.25">
      <c r="A313" s="69">
        <f t="shared" ref="A313:A318" si="33">J3/12</f>
        <v>375</v>
      </c>
      <c r="B313" s="95">
        <f>IF(A313&lt;=100,0.83,IF(AND(A313&gt;100,A313&lt;=200),0.87,IF(AND(A313&gt;200,A313&lt;=400),0.9,IF(AND(A313&gt;400,A313&lt;=500),0.91,IF(AND(A313&gt;500,A313&lt;=600),0.91,IF(AND(A313&gt;600,A313&lt;=700),0.92,IF(AND(A313&gt;700,A313&lt;=800),0.92,IF(AND(A313&gt;800,A313&lt;=900),0.93,IF(AND(A313&gt;900,A313&lt;=1000),0.93,IF(AND(A313&gt;1000,A313&lt;=1100),0.93,IF(AND(A313&gt;1100,A313&lt;=1200),0.94,IF(AND(A313&gt;1200,A313&lt;=1300),0.94,IF(AND(A313&gt;1300,A313&lt;=1400),0.94,IF(AND(A313&gt;1400,A313&lt;=1500),0.94,IF(AND(A313&gt;1500,A313&lt;=1600),0.95,IF(AND(A313&gt;1600,A313&lt;=1700),0.95,IF(AND(A313&gt;1700,A313&lt;=1800),0.95,IF(AND(A313&gt;1800,A313&lt;=1900),0.95,IF(A313&gt;1900,0.96)))))))))))))))))))</f>
        <v>0.9</v>
      </c>
      <c r="C313" s="95">
        <f>IF(A313&lt;=100,0.87,IF(AND(A313&gt;100,A313&lt;=200),0.9,IF(AND(A313&gt;200,A313&lt;=400),0.91,IF(AND(A313&gt;400,A313&lt;=500),0.91,IF(AND(A313&gt;500,A313&lt;=600),0.92,IF(AND(A313&gt;600,A313&lt;=700),0.92,IF(AND(A313&gt;700,A313&lt;=800),0.93,IF(AND(A313&gt;800,A313&lt;=900),0.93,IF(AND(A313&gt;900,A313&lt;=1000),0.93,IF(AND(A313&gt;1000,A313&lt;=1100),0.94,IF(AND(A313&gt;1100,A313&lt;=1200),0.94,IF(AND(A313&gt;1200,A313&lt;=1300),0.94,IF(AND(A313&gt;1300,A313&lt;=1400),0.94,IF(AND(A313&gt;1400,A313&lt;=1500),0.95,IF(AND(A313&gt;1500,A313&lt;=1600),0.95,IF(AND(A313&gt;1600,A313&lt;=1700),0.95,IF(AND(A313&gt;1700,A313&lt;=1800),0.95,IF(AND(A313&gt;1800,A313&lt;=1900),0.96,IF(A313&gt;1900,1)))))))))))))))))))</f>
        <v>0.91</v>
      </c>
      <c r="D313" s="95">
        <f>C313-B313</f>
        <v>1.0000000000000009E-2</v>
      </c>
      <c r="E313" s="69">
        <f>IF(AND(A313&gt;=100,A313&lt;200),100,IF(AND(A313&gt;=200,A313&lt;300),200,IF(AND(A313&gt;=300,A313&lt;400),300,IF(AND(A313&gt;=400,A313&lt;500),400,IF(AND(A313&gt;=500,A313&lt;600),500,IF(AND(A313&gt;=600,A313&lt;700),600,IF(AND(A313&gt;=700,A313&lt;800),700,IF(AND(A313&gt;=800,A313&lt;900),800,IF(AND(A313&gt;=900,A313&lt;1000),900,IF(AND(A313&gt;=1000,A313&lt;1100),1000,IF(AND(A313&gt;=1100,A313&lt;1200),1100,IF(AND(A313&gt;=1200,A313&lt;1300),1200,IF(AND(A313&gt;=1300,A313&lt;1400),1300,IF(AND(A313&gt;=1400,A313&lt;1500),1400,IF(AND(A313&gt;=1500,A313&lt;1600),1500,IF(AND(A313&gt;=1600,A313&lt;1700),1600,IF(AND(A313&gt;=1700,A313&lt;1800),1700,IF(AND(A313&gt;=1800,A313&lt;1900),1800,IF(A313&gt;=1900,1900)))))))))))))))))))</f>
        <v>300</v>
      </c>
      <c r="F313" s="204">
        <f>A313-E313</f>
        <v>75</v>
      </c>
      <c r="G313" s="203">
        <f>B313+(D313*F313)/100</f>
        <v>0.90749999999999997</v>
      </c>
      <c r="H313" s="69">
        <f>A313/G313</f>
        <v>413.22314049586777</v>
      </c>
      <c r="I313" s="35" t="str">
        <f>IF(H313&lt;=$K$143,"A",IF(AND(H313&gt;$K$143,H313&lt;=$K$144),"B",IF(AND(H313&gt;$K$144,H313&lt;=$K$145),"C",IF(AND(H313&gt;$K$145,H313&lt;=$K$146),"D",IF(AND(H313&gt;$K$146,H313&lt;=$K$147),"E",IF(H313&gt;$K$147,"F"))))))</f>
        <v>C</v>
      </c>
      <c r="J313" s="95">
        <f t="shared" ref="J313:J342" si="34">IF(I313="A",$D$198,IF(I313="B",$D$199,IF(I313="C",$D$200,IF(I313="D",$D$201,IF(I313="E",$D$202,IF(I313="F",$D$202))))))</f>
        <v>83</v>
      </c>
      <c r="M313" s="47"/>
    </row>
    <row r="314" spans="1:13" x14ac:dyDescent="0.25">
      <c r="A314" s="69">
        <f t="shared" si="33"/>
        <v>386.25</v>
      </c>
      <c r="B314" s="95">
        <f t="shared" ref="B314:B342" si="35">IF(A314&lt;=100,0.83,IF(AND(A314&gt;100,A314&lt;=200),0.87,IF(AND(A314&gt;200,A314&lt;=400),0.9,IF(AND(A314&gt;400,A314&lt;=500),0.91,IF(AND(A314&gt;500,A314&lt;=600),0.91,IF(AND(A314&gt;600,A314&lt;=700),0.92,IF(AND(A314&gt;700,A314&lt;=800),0.92,IF(AND(A314&gt;800,A314&lt;=900),0.93,IF(AND(A314&gt;900,A314&lt;=1000),0.93,IF(AND(A314&gt;1000,A314&lt;=1100),0.93,IF(AND(A314&gt;1100,A314&lt;=1200),0.94,IF(AND(A314&gt;1200,A314&lt;=1300),0.94,IF(AND(A314&gt;1300,A314&lt;=1400),0.94,IF(AND(A314&gt;1400,A314&lt;=1500),0.94,IF(AND(A314&gt;1500,A314&lt;=1600),0.95,IF(AND(A314&gt;1600,A314&lt;=1700),0.95,IF(AND(A314&gt;1700,A314&lt;=1800),0.95,IF(AND(A314&gt;1800,A314&lt;=1900),0.95,IF(A314&gt;1900,0.96)))))))))))))))))))</f>
        <v>0.9</v>
      </c>
      <c r="C314" s="95">
        <f t="shared" ref="C314:C342" si="36">IF(A314&lt;=100,0.87,IF(AND(A314&gt;100,A314&lt;=200),0.9,IF(AND(A314&gt;200,A314&lt;=400),0.91,IF(AND(A314&gt;400,A314&lt;=500),0.91,IF(AND(A314&gt;500,A314&lt;=600),0.92,IF(AND(A314&gt;600,A314&lt;=700),0.92,IF(AND(A314&gt;700,A314&lt;=800),0.93,IF(AND(A314&gt;800,A314&lt;=900),0.93,IF(AND(A314&gt;900,A314&lt;=1000),0.93,IF(AND(A314&gt;1000,A314&lt;=1100),0.94,IF(AND(A314&gt;1100,A314&lt;=1200),0.94,IF(AND(A314&gt;1200,A314&lt;=1300),0.94,IF(AND(A314&gt;1300,A314&lt;=1400),0.94,IF(AND(A314&gt;1400,A314&lt;=1500),0.95,IF(AND(A314&gt;1500,A314&lt;=1600),0.95,IF(AND(A314&gt;1600,A314&lt;=1700),0.95,IF(AND(A314&gt;1700,A314&lt;=1800),0.95,IF(AND(A314&gt;1800,A314&lt;=1900),0.96,IF(A314&gt;1900,1)))))))))))))))))))</f>
        <v>0.91</v>
      </c>
      <c r="D314" s="95">
        <f t="shared" ref="D314:D343" si="37">C314-B314</f>
        <v>1.0000000000000009E-2</v>
      </c>
      <c r="E314" s="69">
        <f t="shared" ref="E314:E343" si="38">IF(AND(A314&gt;=100,A314&lt;200),100,IF(AND(A314&gt;=200,A314&lt;300),200,IF(AND(A314&gt;=300,A314&lt;400),300,IF(AND(A314&gt;=400,A314&lt;500),400,IF(AND(A314&gt;=500,A314&lt;600),500,IF(AND(A314&gt;=600,A314&lt;700),600,IF(AND(A314&gt;=700,A314&lt;800),700,IF(AND(A314&gt;=800,A314&lt;900),800,IF(AND(A314&gt;=900,A314&lt;1000),900,IF(AND(A314&gt;=1000,A314&lt;1100),1000,IF(AND(A314&gt;=1100,A314&lt;1200),1100,IF(AND(A314&gt;=1200,A314&lt;1300),1200,IF(AND(A314&gt;=1300,A314&lt;1400),1300,IF(AND(A314&gt;=1400,A314&lt;1500),1400,IF(AND(A314&gt;=1500,A314&lt;1600),1500,IF(AND(A314&gt;=1600,A314&lt;1700),1600,IF(AND(A314&gt;=1700,A314&lt;1800),1700,IF(AND(A314&gt;=1800,A314&lt;1900),1800,IF(A314&gt;=1900,1900)))))))))))))))))))</f>
        <v>300</v>
      </c>
      <c r="F314" s="204">
        <f t="shared" ref="F314:F343" si="39">A314-E314</f>
        <v>86.25</v>
      </c>
      <c r="G314" s="203">
        <f t="shared" ref="G314:G343" si="40">B314+(D314*F314)/100</f>
        <v>0.90862500000000002</v>
      </c>
      <c r="H314" s="69">
        <f t="shared" ref="H314:H343" si="41">A314/G314</f>
        <v>425.09286009079653</v>
      </c>
      <c r="I314" s="35" t="str">
        <f t="shared" ref="I314:I343" si="42">IF(H314&lt;=$K$143,"A",IF(AND(H314&gt;$K$143,H314&lt;=$K$144),"B",IF(AND(H314&gt;$K$144,H314&lt;=$K$145),"C",IF(AND(H314&gt;$K$145,H314&lt;=$K$146),"D",IF(AND(H314&gt;$K$146,H314&lt;=$K$147),"E",IF(H314&gt;$K$147,"F"))))))</f>
        <v>C</v>
      </c>
      <c r="J314" s="95">
        <f t="shared" si="34"/>
        <v>83</v>
      </c>
      <c r="M314" s="47"/>
    </row>
    <row r="315" spans="1:13" x14ac:dyDescent="0.25">
      <c r="A315" s="69">
        <f t="shared" si="33"/>
        <v>397.83749999999986</v>
      </c>
      <c r="B315" s="95">
        <f t="shared" si="35"/>
        <v>0.9</v>
      </c>
      <c r="C315" s="95">
        <f t="shared" si="36"/>
        <v>0.91</v>
      </c>
      <c r="D315" s="95">
        <f t="shared" si="37"/>
        <v>1.0000000000000009E-2</v>
      </c>
      <c r="E315" s="69">
        <f t="shared" si="38"/>
        <v>300</v>
      </c>
      <c r="F315" s="204">
        <f t="shared" si="39"/>
        <v>97.837499999999864</v>
      </c>
      <c r="G315" s="203">
        <f t="shared" si="40"/>
        <v>0.90978375</v>
      </c>
      <c r="H315" s="69">
        <f t="shared" si="41"/>
        <v>437.28798189679674</v>
      </c>
      <c r="I315" s="35" t="str">
        <f t="shared" si="42"/>
        <v>C</v>
      </c>
      <c r="J315" s="95">
        <f t="shared" si="34"/>
        <v>83</v>
      </c>
      <c r="M315" s="47"/>
    </row>
    <row r="316" spans="1:13" x14ac:dyDescent="0.25">
      <c r="A316" s="69">
        <f t="shared" si="33"/>
        <v>409.77262500000001</v>
      </c>
      <c r="B316" s="95">
        <f t="shared" si="35"/>
        <v>0.91</v>
      </c>
      <c r="C316" s="95">
        <f t="shared" si="36"/>
        <v>0.91</v>
      </c>
      <c r="D316" s="95">
        <f t="shared" si="37"/>
        <v>0</v>
      </c>
      <c r="E316" s="69">
        <f t="shared" si="38"/>
        <v>400</v>
      </c>
      <c r="F316" s="204">
        <f t="shared" si="39"/>
        <v>9.772625000000005</v>
      </c>
      <c r="G316" s="203">
        <f t="shared" si="40"/>
        <v>0.91</v>
      </c>
      <c r="H316" s="69">
        <f t="shared" si="41"/>
        <v>450.29958791208793</v>
      </c>
      <c r="I316" s="35" t="str">
        <f t="shared" si="42"/>
        <v>C</v>
      </c>
      <c r="J316" s="95">
        <f t="shared" si="34"/>
        <v>83</v>
      </c>
      <c r="M316" s="47"/>
    </row>
    <row r="317" spans="1:13" x14ac:dyDescent="0.25">
      <c r="A317" s="69">
        <f t="shared" si="33"/>
        <v>422.06580375000004</v>
      </c>
      <c r="B317" s="95">
        <f t="shared" si="35"/>
        <v>0.91</v>
      </c>
      <c r="C317" s="95">
        <f t="shared" si="36"/>
        <v>0.91</v>
      </c>
      <c r="D317" s="95">
        <f t="shared" si="37"/>
        <v>0</v>
      </c>
      <c r="E317" s="69">
        <f t="shared" si="38"/>
        <v>400</v>
      </c>
      <c r="F317" s="204">
        <f t="shared" si="39"/>
        <v>22.065803750000043</v>
      </c>
      <c r="G317" s="203">
        <f t="shared" si="40"/>
        <v>0.91</v>
      </c>
      <c r="H317" s="69">
        <f t="shared" si="41"/>
        <v>463.80857554945061</v>
      </c>
      <c r="I317" s="35" t="str">
        <f t="shared" si="42"/>
        <v>C</v>
      </c>
      <c r="J317" s="95">
        <f t="shared" si="34"/>
        <v>83</v>
      </c>
      <c r="M317" s="47"/>
    </row>
    <row r="318" spans="1:13" x14ac:dyDescent="0.25">
      <c r="A318" s="69">
        <f t="shared" si="33"/>
        <v>434.72777786249998</v>
      </c>
      <c r="B318" s="95">
        <f t="shared" si="35"/>
        <v>0.91</v>
      </c>
      <c r="C318" s="95">
        <f t="shared" si="36"/>
        <v>0.91</v>
      </c>
      <c r="D318" s="95">
        <f t="shared" si="37"/>
        <v>0</v>
      </c>
      <c r="E318" s="69">
        <f t="shared" si="38"/>
        <v>400</v>
      </c>
      <c r="F318" s="204">
        <f t="shared" si="39"/>
        <v>34.727777862499977</v>
      </c>
      <c r="G318" s="203">
        <f t="shared" si="40"/>
        <v>0.91</v>
      </c>
      <c r="H318" s="69">
        <f t="shared" si="41"/>
        <v>477.722832815934</v>
      </c>
      <c r="I318" s="35" t="str">
        <f t="shared" si="42"/>
        <v>C</v>
      </c>
      <c r="J318" s="95">
        <f t="shared" si="34"/>
        <v>83</v>
      </c>
      <c r="M318" s="47"/>
    </row>
    <row r="319" spans="1:13" x14ac:dyDescent="0.25">
      <c r="A319" s="69">
        <f t="shared" ref="A319:A342" si="43">J9/12</f>
        <v>447.76961119837489</v>
      </c>
      <c r="B319" s="95">
        <f t="shared" si="35"/>
        <v>0.91</v>
      </c>
      <c r="C319" s="95">
        <f t="shared" si="36"/>
        <v>0.91</v>
      </c>
      <c r="D319" s="95">
        <f t="shared" si="37"/>
        <v>0</v>
      </c>
      <c r="E319" s="69">
        <f t="shared" si="38"/>
        <v>400</v>
      </c>
      <c r="F319" s="204">
        <f t="shared" si="39"/>
        <v>47.769611198374889</v>
      </c>
      <c r="G319" s="203">
        <f t="shared" si="40"/>
        <v>0.91</v>
      </c>
      <c r="H319" s="69">
        <f t="shared" si="41"/>
        <v>492.05451780041193</v>
      </c>
      <c r="I319" s="35" t="str">
        <f t="shared" si="42"/>
        <v>C</v>
      </c>
      <c r="J319" s="95">
        <f t="shared" si="34"/>
        <v>83</v>
      </c>
      <c r="M319" s="47"/>
    </row>
    <row r="320" spans="1:13" x14ac:dyDescent="0.25">
      <c r="A320" s="69">
        <f t="shared" si="43"/>
        <v>461.20269953432626</v>
      </c>
      <c r="B320" s="95">
        <f t="shared" si="35"/>
        <v>0.91</v>
      </c>
      <c r="C320" s="95">
        <f t="shared" si="36"/>
        <v>0.91</v>
      </c>
      <c r="D320" s="95">
        <f t="shared" si="37"/>
        <v>0</v>
      </c>
      <c r="E320" s="69">
        <f t="shared" si="38"/>
        <v>400</v>
      </c>
      <c r="F320" s="204">
        <f t="shared" si="39"/>
        <v>61.202699534326257</v>
      </c>
      <c r="G320" s="203">
        <f t="shared" si="40"/>
        <v>0.91</v>
      </c>
      <c r="H320" s="69">
        <f t="shared" si="41"/>
        <v>506.81615333442443</v>
      </c>
      <c r="I320" s="35" t="str">
        <f t="shared" si="42"/>
        <v>C</v>
      </c>
      <c r="J320" s="95">
        <f t="shared" si="34"/>
        <v>83</v>
      </c>
      <c r="M320" s="47"/>
    </row>
    <row r="321" spans="1:13" x14ac:dyDescent="0.25">
      <c r="A321" s="69">
        <f t="shared" si="43"/>
        <v>475.03878052035606</v>
      </c>
      <c r="B321" s="95">
        <f t="shared" si="35"/>
        <v>0.91</v>
      </c>
      <c r="C321" s="95">
        <f t="shared" si="36"/>
        <v>0.91</v>
      </c>
      <c r="D321" s="95">
        <f t="shared" si="37"/>
        <v>0</v>
      </c>
      <c r="E321" s="69">
        <f t="shared" si="38"/>
        <v>400</v>
      </c>
      <c r="F321" s="204">
        <f t="shared" si="39"/>
        <v>75.038780520356056</v>
      </c>
      <c r="G321" s="203">
        <f t="shared" si="40"/>
        <v>0.91</v>
      </c>
      <c r="H321" s="69">
        <f t="shared" si="41"/>
        <v>522.02063793445723</v>
      </c>
      <c r="I321" s="35" t="str">
        <f t="shared" si="42"/>
        <v>C</v>
      </c>
      <c r="J321" s="95">
        <f t="shared" si="34"/>
        <v>83</v>
      </c>
      <c r="M321" s="47"/>
    </row>
    <row r="322" spans="1:13" x14ac:dyDescent="0.25">
      <c r="A322" s="69">
        <f t="shared" si="43"/>
        <v>489.28994393596668</v>
      </c>
      <c r="B322" s="95">
        <f t="shared" si="35"/>
        <v>0.91</v>
      </c>
      <c r="C322" s="95">
        <f t="shared" si="36"/>
        <v>0.91</v>
      </c>
      <c r="D322" s="95">
        <f t="shared" si="37"/>
        <v>0</v>
      </c>
      <c r="E322" s="69">
        <f t="shared" si="38"/>
        <v>400</v>
      </c>
      <c r="F322" s="204">
        <f t="shared" si="39"/>
        <v>89.289943935966676</v>
      </c>
      <c r="G322" s="203">
        <f t="shared" si="40"/>
        <v>0.91</v>
      </c>
      <c r="H322" s="69">
        <f t="shared" si="41"/>
        <v>537.68125707249078</v>
      </c>
      <c r="I322" s="35" t="str">
        <f t="shared" si="42"/>
        <v>C</v>
      </c>
      <c r="J322" s="95">
        <f t="shared" si="34"/>
        <v>83</v>
      </c>
      <c r="M322" s="47"/>
    </row>
    <row r="323" spans="1:13" x14ac:dyDescent="0.25">
      <c r="A323" s="69">
        <f t="shared" si="43"/>
        <v>503.96864225404573</v>
      </c>
      <c r="B323" s="95">
        <f t="shared" si="35"/>
        <v>0.91</v>
      </c>
      <c r="C323" s="95">
        <f t="shared" si="36"/>
        <v>0.92</v>
      </c>
      <c r="D323" s="95">
        <f t="shared" si="37"/>
        <v>1.0000000000000009E-2</v>
      </c>
      <c r="E323" s="69">
        <f t="shared" si="38"/>
        <v>500</v>
      </c>
      <c r="F323" s="204">
        <f t="shared" si="39"/>
        <v>3.9686422540457329</v>
      </c>
      <c r="G323" s="203">
        <f t="shared" si="40"/>
        <v>0.91039686422540456</v>
      </c>
      <c r="H323" s="69">
        <f t="shared" si="41"/>
        <v>553.57027474258575</v>
      </c>
      <c r="I323" s="35" t="str">
        <f t="shared" si="42"/>
        <v>C</v>
      </c>
      <c r="J323" s="95">
        <f t="shared" si="34"/>
        <v>83</v>
      </c>
      <c r="M323" s="47"/>
    </row>
    <row r="324" spans="1:13" x14ac:dyDescent="0.25">
      <c r="A324" s="69">
        <f t="shared" si="43"/>
        <v>519.0877015216671</v>
      </c>
      <c r="B324" s="95">
        <f t="shared" si="35"/>
        <v>0.91</v>
      </c>
      <c r="C324" s="95">
        <f t="shared" si="36"/>
        <v>0.92</v>
      </c>
      <c r="D324" s="95">
        <f t="shared" si="37"/>
        <v>1.0000000000000009E-2</v>
      </c>
      <c r="E324" s="69">
        <f t="shared" si="38"/>
        <v>500</v>
      </c>
      <c r="F324" s="204">
        <f t="shared" si="39"/>
        <v>19.0877015216671</v>
      </c>
      <c r="G324" s="203">
        <f t="shared" si="40"/>
        <v>0.91190877015216676</v>
      </c>
      <c r="H324" s="69">
        <f t="shared" si="41"/>
        <v>569.23205315269524</v>
      </c>
      <c r="I324" s="35" t="str">
        <f t="shared" si="42"/>
        <v>C</v>
      </c>
      <c r="J324" s="95">
        <f t="shared" si="34"/>
        <v>83</v>
      </c>
      <c r="M324" s="47"/>
    </row>
    <row r="325" spans="1:13" x14ac:dyDescent="0.25">
      <c r="A325" s="69">
        <f t="shared" si="43"/>
        <v>534.66033256731714</v>
      </c>
      <c r="B325" s="95">
        <f t="shared" si="35"/>
        <v>0.91</v>
      </c>
      <c r="C325" s="95">
        <f t="shared" si="36"/>
        <v>0.92</v>
      </c>
      <c r="D325" s="95">
        <f t="shared" si="37"/>
        <v>1.0000000000000009E-2</v>
      </c>
      <c r="E325" s="69">
        <f t="shared" si="38"/>
        <v>500</v>
      </c>
      <c r="F325" s="204">
        <f t="shared" si="39"/>
        <v>34.660332567317141</v>
      </c>
      <c r="G325" s="203">
        <f t="shared" si="40"/>
        <v>0.9134660332567317</v>
      </c>
      <c r="H325" s="69">
        <f t="shared" si="41"/>
        <v>585.30948398937312</v>
      </c>
      <c r="I325" s="35" t="str">
        <f t="shared" si="42"/>
        <v>C</v>
      </c>
      <c r="J325" s="95">
        <f t="shared" si="34"/>
        <v>83</v>
      </c>
      <c r="M325" s="47"/>
    </row>
    <row r="326" spans="1:13" x14ac:dyDescent="0.25">
      <c r="A326" s="69">
        <f t="shared" si="43"/>
        <v>550.70014254433647</v>
      </c>
      <c r="B326" s="95">
        <f t="shared" si="35"/>
        <v>0.91</v>
      </c>
      <c r="C326" s="95">
        <f t="shared" si="36"/>
        <v>0.92</v>
      </c>
      <c r="D326" s="95">
        <f t="shared" si="37"/>
        <v>1.0000000000000009E-2</v>
      </c>
      <c r="E326" s="69">
        <f t="shared" si="38"/>
        <v>500</v>
      </c>
      <c r="F326" s="204">
        <f t="shared" si="39"/>
        <v>50.700142544336472</v>
      </c>
      <c r="G326" s="203">
        <f t="shared" si="40"/>
        <v>0.91507001425443368</v>
      </c>
      <c r="H326" s="69">
        <f t="shared" si="41"/>
        <v>601.81202964346642</v>
      </c>
      <c r="I326" s="35" t="str">
        <f t="shared" si="42"/>
        <v>C</v>
      </c>
      <c r="J326" s="95">
        <f t="shared" si="34"/>
        <v>83</v>
      </c>
      <c r="M326" s="47"/>
    </row>
    <row r="327" spans="1:13" x14ac:dyDescent="0.25">
      <c r="A327" s="69">
        <f t="shared" si="43"/>
        <v>567.2211468206666</v>
      </c>
      <c r="B327" s="95">
        <f t="shared" si="35"/>
        <v>0.91</v>
      </c>
      <c r="C327" s="95">
        <f t="shared" si="36"/>
        <v>0.92</v>
      </c>
      <c r="D327" s="95">
        <f t="shared" si="37"/>
        <v>1.0000000000000009E-2</v>
      </c>
      <c r="E327" s="69">
        <f t="shared" si="38"/>
        <v>500</v>
      </c>
      <c r="F327" s="204">
        <f t="shared" si="39"/>
        <v>67.221146820666604</v>
      </c>
      <c r="G327" s="203">
        <f t="shared" si="40"/>
        <v>0.91672211468206666</v>
      </c>
      <c r="H327" s="69">
        <f t="shared" si="41"/>
        <v>618.74927825580778</v>
      </c>
      <c r="I327" s="35" t="str">
        <f t="shared" si="42"/>
        <v>D</v>
      </c>
      <c r="J327" s="95">
        <f t="shared" si="34"/>
        <v>80</v>
      </c>
      <c r="M327" s="47"/>
    </row>
    <row r="328" spans="1:13" x14ac:dyDescent="0.25">
      <c r="A328" s="69">
        <f t="shared" si="43"/>
        <v>584.23778122528665</v>
      </c>
      <c r="B328" s="95">
        <f t="shared" si="35"/>
        <v>0.91</v>
      </c>
      <c r="C328" s="95">
        <f t="shared" si="36"/>
        <v>0.92</v>
      </c>
      <c r="D328" s="95">
        <f t="shared" si="37"/>
        <v>1.0000000000000009E-2</v>
      </c>
      <c r="E328" s="69">
        <f t="shared" si="38"/>
        <v>500</v>
      </c>
      <c r="F328" s="204">
        <f t="shared" si="39"/>
        <v>84.237781225286653</v>
      </c>
      <c r="G328" s="203">
        <f t="shared" si="40"/>
        <v>0.91842377812252873</v>
      </c>
      <c r="H328" s="69">
        <f t="shared" si="41"/>
        <v>636.13093992362019</v>
      </c>
      <c r="I328" s="35" t="str">
        <f t="shared" si="42"/>
        <v>D</v>
      </c>
      <c r="J328" s="95">
        <f t="shared" si="34"/>
        <v>80</v>
      </c>
      <c r="M328" s="47"/>
    </row>
    <row r="329" spans="1:13" x14ac:dyDescent="0.25">
      <c r="A329" s="69">
        <f t="shared" si="43"/>
        <v>601.76491466204516</v>
      </c>
      <c r="B329" s="95">
        <f t="shared" si="35"/>
        <v>0.92</v>
      </c>
      <c r="C329" s="95">
        <f t="shared" si="36"/>
        <v>0.92</v>
      </c>
      <c r="D329" s="95">
        <f t="shared" si="37"/>
        <v>0</v>
      </c>
      <c r="E329" s="69">
        <f t="shared" si="38"/>
        <v>600</v>
      </c>
      <c r="F329" s="204">
        <f t="shared" si="39"/>
        <v>1.7649146620451575</v>
      </c>
      <c r="G329" s="203">
        <f t="shared" si="40"/>
        <v>0.92</v>
      </c>
      <c r="H329" s="69">
        <f t="shared" si="41"/>
        <v>654.09229854570128</v>
      </c>
      <c r="I329" s="35" t="str">
        <f t="shared" si="42"/>
        <v>D</v>
      </c>
      <c r="J329" s="95">
        <f t="shared" si="34"/>
        <v>80</v>
      </c>
      <c r="M329" s="47"/>
    </row>
    <row r="330" spans="1:13" x14ac:dyDescent="0.25">
      <c r="A330" s="69">
        <f t="shared" si="43"/>
        <v>619.8178621019066</v>
      </c>
      <c r="B330" s="95">
        <f t="shared" si="35"/>
        <v>0.92</v>
      </c>
      <c r="C330" s="95">
        <f t="shared" si="36"/>
        <v>0.92</v>
      </c>
      <c r="D330" s="95">
        <f t="shared" si="37"/>
        <v>0</v>
      </c>
      <c r="E330" s="69">
        <f t="shared" si="38"/>
        <v>600</v>
      </c>
      <c r="F330" s="204">
        <f t="shared" si="39"/>
        <v>19.817862101906599</v>
      </c>
      <c r="G330" s="203">
        <f t="shared" si="40"/>
        <v>0.92</v>
      </c>
      <c r="H330" s="69">
        <f t="shared" si="41"/>
        <v>673.71506750207232</v>
      </c>
      <c r="I330" s="35" t="str">
        <f t="shared" si="42"/>
        <v>D</v>
      </c>
      <c r="J330" s="95">
        <f t="shared" si="34"/>
        <v>80</v>
      </c>
      <c r="M330" s="47"/>
    </row>
    <row r="331" spans="1:13" x14ac:dyDescent="0.25">
      <c r="A331" s="69">
        <f t="shared" si="43"/>
        <v>638.4123979649637</v>
      </c>
      <c r="B331" s="95">
        <f t="shared" si="35"/>
        <v>0.92</v>
      </c>
      <c r="C331" s="95">
        <f t="shared" si="36"/>
        <v>0.92</v>
      </c>
      <c r="D331" s="95">
        <f t="shared" si="37"/>
        <v>0</v>
      </c>
      <c r="E331" s="69">
        <f t="shared" si="38"/>
        <v>600</v>
      </c>
      <c r="F331" s="204">
        <f t="shared" si="39"/>
        <v>38.412397964963702</v>
      </c>
      <c r="G331" s="203">
        <f t="shared" si="40"/>
        <v>0.92</v>
      </c>
      <c r="H331" s="69">
        <f t="shared" si="41"/>
        <v>693.92651952713447</v>
      </c>
      <c r="I331" s="35" t="str">
        <f t="shared" si="42"/>
        <v>D</v>
      </c>
      <c r="J331" s="95">
        <f t="shared" si="34"/>
        <v>80</v>
      </c>
      <c r="M331" s="47"/>
    </row>
    <row r="332" spans="1:13" x14ac:dyDescent="0.25">
      <c r="A332" s="69">
        <f t="shared" si="43"/>
        <v>657.56476990391263</v>
      </c>
      <c r="B332" s="95">
        <f t="shared" si="35"/>
        <v>0.92</v>
      </c>
      <c r="C332" s="95">
        <f t="shared" si="36"/>
        <v>0.92</v>
      </c>
      <c r="D332" s="95">
        <f t="shared" si="37"/>
        <v>0</v>
      </c>
      <c r="E332" s="69">
        <f t="shared" si="38"/>
        <v>600</v>
      </c>
      <c r="F332" s="204">
        <f t="shared" si="39"/>
        <v>57.564769903912634</v>
      </c>
      <c r="G332" s="203">
        <f t="shared" si="40"/>
        <v>0.92</v>
      </c>
      <c r="H332" s="69">
        <f t="shared" si="41"/>
        <v>714.74431511294847</v>
      </c>
      <c r="I332" s="35" t="str">
        <f t="shared" si="42"/>
        <v>D</v>
      </c>
      <c r="J332" s="95">
        <f t="shared" si="34"/>
        <v>80</v>
      </c>
      <c r="M332" s="47"/>
    </row>
    <row r="333" spans="1:13" x14ac:dyDescent="0.25">
      <c r="A333" s="69">
        <f t="shared" si="43"/>
        <v>677.29171300103008</v>
      </c>
      <c r="B333" s="95">
        <f t="shared" si="35"/>
        <v>0.92</v>
      </c>
      <c r="C333" s="95">
        <f t="shared" si="36"/>
        <v>0.92</v>
      </c>
      <c r="D333" s="95">
        <f t="shared" si="37"/>
        <v>0</v>
      </c>
      <c r="E333" s="69">
        <f t="shared" si="38"/>
        <v>600</v>
      </c>
      <c r="F333" s="204">
        <f t="shared" si="39"/>
        <v>77.291713001030075</v>
      </c>
      <c r="G333" s="203">
        <f t="shared" si="40"/>
        <v>0.92</v>
      </c>
      <c r="H333" s="69">
        <f t="shared" si="41"/>
        <v>736.18664456633701</v>
      </c>
      <c r="I333" s="35" t="str">
        <f t="shared" si="42"/>
        <v>D</v>
      </c>
      <c r="J333" s="95">
        <f t="shared" si="34"/>
        <v>80</v>
      </c>
      <c r="M333" s="47"/>
    </row>
    <row r="334" spans="1:13" x14ac:dyDescent="0.25">
      <c r="A334" s="69">
        <f t="shared" si="43"/>
        <v>697.61046439106076</v>
      </c>
      <c r="B334" s="95">
        <f t="shared" si="35"/>
        <v>0.92</v>
      </c>
      <c r="C334" s="95">
        <f t="shared" si="36"/>
        <v>0.92</v>
      </c>
      <c r="D334" s="95">
        <f t="shared" si="37"/>
        <v>0</v>
      </c>
      <c r="E334" s="69">
        <f t="shared" si="38"/>
        <v>600</v>
      </c>
      <c r="F334" s="204">
        <f t="shared" si="39"/>
        <v>97.610464391060759</v>
      </c>
      <c r="G334" s="203">
        <f t="shared" si="40"/>
        <v>0.92</v>
      </c>
      <c r="H334" s="69">
        <f t="shared" si="41"/>
        <v>758.27224390332685</v>
      </c>
      <c r="I334" s="35" t="str">
        <f t="shared" si="42"/>
        <v>D</v>
      </c>
      <c r="J334" s="95">
        <f t="shared" si="34"/>
        <v>80</v>
      </c>
      <c r="M334" s="47"/>
    </row>
    <row r="335" spans="1:13" x14ac:dyDescent="0.25">
      <c r="A335" s="69">
        <f t="shared" si="43"/>
        <v>718.53877832279261</v>
      </c>
      <c r="B335" s="95">
        <f t="shared" si="35"/>
        <v>0.92</v>
      </c>
      <c r="C335" s="95">
        <f t="shared" si="36"/>
        <v>0.93</v>
      </c>
      <c r="D335" s="95">
        <f t="shared" si="37"/>
        <v>1.0000000000000009E-2</v>
      </c>
      <c r="E335" s="69">
        <f t="shared" si="38"/>
        <v>700</v>
      </c>
      <c r="F335" s="204">
        <f t="shared" si="39"/>
        <v>18.538778322792609</v>
      </c>
      <c r="G335" s="203">
        <f t="shared" si="40"/>
        <v>0.92185387783227934</v>
      </c>
      <c r="H335" s="69">
        <f t="shared" si="41"/>
        <v>779.44975402438172</v>
      </c>
      <c r="I335" s="35" t="str">
        <f t="shared" si="42"/>
        <v>D</v>
      </c>
      <c r="J335" s="95">
        <f t="shared" si="34"/>
        <v>80</v>
      </c>
      <c r="M335" s="47"/>
    </row>
    <row r="336" spans="1:13" x14ac:dyDescent="0.25">
      <c r="A336" s="69">
        <f t="shared" si="43"/>
        <v>740.09494167247647</v>
      </c>
      <c r="B336" s="95">
        <f t="shared" si="35"/>
        <v>0.92</v>
      </c>
      <c r="C336" s="95">
        <f t="shared" si="36"/>
        <v>0.93</v>
      </c>
      <c r="D336" s="95">
        <f t="shared" si="37"/>
        <v>1.0000000000000009E-2</v>
      </c>
      <c r="E336" s="69">
        <f t="shared" si="38"/>
        <v>700</v>
      </c>
      <c r="F336" s="204">
        <f t="shared" si="39"/>
        <v>40.094941672476466</v>
      </c>
      <c r="G336" s="203">
        <f t="shared" si="40"/>
        <v>0.92400949416724765</v>
      </c>
      <c r="H336" s="69">
        <f t="shared" si="41"/>
        <v>800.96032166799114</v>
      </c>
      <c r="I336" s="35" t="str">
        <f t="shared" si="42"/>
        <v>D</v>
      </c>
      <c r="J336" s="95">
        <f t="shared" si="34"/>
        <v>80</v>
      </c>
      <c r="M336" s="47"/>
    </row>
    <row r="337" spans="1:13" x14ac:dyDescent="0.25">
      <c r="A337" s="69">
        <f t="shared" si="43"/>
        <v>762.29778992265074</v>
      </c>
      <c r="B337" s="95">
        <f t="shared" si="35"/>
        <v>0.92</v>
      </c>
      <c r="C337" s="95">
        <f t="shared" si="36"/>
        <v>0.93</v>
      </c>
      <c r="D337" s="95">
        <f t="shared" si="37"/>
        <v>1.0000000000000009E-2</v>
      </c>
      <c r="E337" s="69">
        <f t="shared" si="38"/>
        <v>700</v>
      </c>
      <c r="F337" s="204">
        <f t="shared" si="39"/>
        <v>62.297789922650736</v>
      </c>
      <c r="G337" s="203">
        <f t="shared" si="40"/>
        <v>0.92622977899226511</v>
      </c>
      <c r="H337" s="69">
        <f t="shared" si="41"/>
        <v>823.01153257243379</v>
      </c>
      <c r="I337" s="35" t="str">
        <f t="shared" si="42"/>
        <v>D</v>
      </c>
      <c r="J337" s="95">
        <f t="shared" si="34"/>
        <v>80</v>
      </c>
      <c r="M337" s="47"/>
    </row>
    <row r="338" spans="1:13" x14ac:dyDescent="0.25">
      <c r="A338" s="69">
        <f t="shared" si="43"/>
        <v>785.16672362033023</v>
      </c>
      <c r="B338" s="95">
        <f t="shared" si="35"/>
        <v>0.92</v>
      </c>
      <c r="C338" s="95">
        <f t="shared" si="36"/>
        <v>0.93</v>
      </c>
      <c r="D338" s="95">
        <f t="shared" si="37"/>
        <v>1.0000000000000009E-2</v>
      </c>
      <c r="E338" s="69">
        <f t="shared" si="38"/>
        <v>700</v>
      </c>
      <c r="F338" s="204">
        <f t="shared" si="39"/>
        <v>85.166723620330231</v>
      </c>
      <c r="G338" s="203">
        <f t="shared" si="40"/>
        <v>0.92851667236203306</v>
      </c>
      <c r="H338" s="69">
        <f t="shared" si="41"/>
        <v>845.61402825752384</v>
      </c>
      <c r="I338" s="35" t="str">
        <f t="shared" si="42"/>
        <v>D</v>
      </c>
      <c r="J338" s="95">
        <f t="shared" si="34"/>
        <v>80</v>
      </c>
      <c r="M338" s="47"/>
    </row>
    <row r="339" spans="1:13" x14ac:dyDescent="0.25">
      <c r="A339" s="69">
        <f t="shared" si="43"/>
        <v>808.72172532894012</v>
      </c>
      <c r="B339" s="95">
        <f t="shared" si="35"/>
        <v>0.93</v>
      </c>
      <c r="C339" s="95">
        <f t="shared" si="36"/>
        <v>0.93</v>
      </c>
      <c r="D339" s="95">
        <f t="shared" si="37"/>
        <v>0</v>
      </c>
      <c r="E339" s="69">
        <f t="shared" si="38"/>
        <v>800</v>
      </c>
      <c r="F339" s="204">
        <f t="shared" si="39"/>
        <v>8.7217253289401242</v>
      </c>
      <c r="G339" s="203">
        <f t="shared" si="40"/>
        <v>0.93</v>
      </c>
      <c r="H339" s="69">
        <f t="shared" si="41"/>
        <v>869.59325304187109</v>
      </c>
      <c r="I339" s="35" t="str">
        <f t="shared" si="42"/>
        <v>D</v>
      </c>
      <c r="J339" s="95">
        <f t="shared" si="34"/>
        <v>80</v>
      </c>
      <c r="M339" s="47"/>
    </row>
    <row r="340" spans="1:13" x14ac:dyDescent="0.25">
      <c r="A340" s="69">
        <f t="shared" si="43"/>
        <v>832.9833770888082</v>
      </c>
      <c r="B340" s="95">
        <f t="shared" si="35"/>
        <v>0.93</v>
      </c>
      <c r="C340" s="95">
        <f t="shared" si="36"/>
        <v>0.93</v>
      </c>
      <c r="D340" s="95">
        <f t="shared" si="37"/>
        <v>0</v>
      </c>
      <c r="E340" s="69">
        <f t="shared" si="38"/>
        <v>800</v>
      </c>
      <c r="F340" s="204">
        <f t="shared" si="39"/>
        <v>32.983377088808197</v>
      </c>
      <c r="G340" s="203">
        <f t="shared" si="40"/>
        <v>0.93</v>
      </c>
      <c r="H340" s="69">
        <f t="shared" si="41"/>
        <v>895.68105063312703</v>
      </c>
      <c r="I340" s="35" t="str">
        <f t="shared" si="42"/>
        <v>D</v>
      </c>
      <c r="J340" s="95">
        <f t="shared" si="34"/>
        <v>80</v>
      </c>
      <c r="M340" s="47"/>
    </row>
    <row r="341" spans="1:13" x14ac:dyDescent="0.25">
      <c r="A341" s="69">
        <f t="shared" si="43"/>
        <v>857.97287840147271</v>
      </c>
      <c r="B341" s="95">
        <f t="shared" si="35"/>
        <v>0.93</v>
      </c>
      <c r="C341" s="95">
        <f t="shared" si="36"/>
        <v>0.93</v>
      </c>
      <c r="D341" s="95">
        <f t="shared" si="37"/>
        <v>0</v>
      </c>
      <c r="E341" s="69">
        <f t="shared" si="38"/>
        <v>800</v>
      </c>
      <c r="F341" s="204">
        <f t="shared" si="39"/>
        <v>57.972878401472713</v>
      </c>
      <c r="G341" s="203">
        <f t="shared" si="40"/>
        <v>0.93</v>
      </c>
      <c r="H341" s="69">
        <f t="shared" si="41"/>
        <v>922.55148215212114</v>
      </c>
      <c r="I341" s="35" t="str">
        <f t="shared" si="42"/>
        <v>D</v>
      </c>
      <c r="J341" s="95">
        <f t="shared" si="34"/>
        <v>80</v>
      </c>
      <c r="M341" s="47"/>
    </row>
    <row r="342" spans="1:13" x14ac:dyDescent="0.25">
      <c r="A342" s="69">
        <f t="shared" si="43"/>
        <v>883.71206475351664</v>
      </c>
      <c r="B342" s="95">
        <f t="shared" si="35"/>
        <v>0.93</v>
      </c>
      <c r="C342" s="95">
        <f t="shared" si="36"/>
        <v>0.93</v>
      </c>
      <c r="D342" s="95">
        <f t="shared" si="37"/>
        <v>0</v>
      </c>
      <c r="E342" s="69">
        <f t="shared" si="38"/>
        <v>800</v>
      </c>
      <c r="F342" s="204">
        <f t="shared" si="39"/>
        <v>83.712064753516643</v>
      </c>
      <c r="G342" s="203">
        <f t="shared" si="40"/>
        <v>0.93</v>
      </c>
      <c r="H342" s="69">
        <f t="shared" si="41"/>
        <v>950.22802661668447</v>
      </c>
      <c r="I342" s="35" t="str">
        <f t="shared" si="42"/>
        <v>D</v>
      </c>
      <c r="J342" s="95">
        <f t="shared" si="34"/>
        <v>80</v>
      </c>
      <c r="M342" s="47"/>
    </row>
    <row r="343" spans="1:13" x14ac:dyDescent="0.25">
      <c r="A343" s="69">
        <f>J33/12</f>
        <v>910.22342669612226</v>
      </c>
      <c r="B343" s="95">
        <f>IF(A343&lt;=100,0.83,IF(AND(A343&gt;100,A343&lt;=200),0.87,IF(AND(A343&gt;200,A343&lt;=400),0.9,IF(AND(A343&gt;400,A343&lt;=500),0.91,IF(AND(A343&gt;500,A343&lt;=600),0.91,IF(AND(A343&gt;600,A343&lt;=700),0.92,IF(AND(A343&gt;700,A343&lt;=800),0.92,IF(AND(A343&gt;800,A343&lt;=900),0.93,IF(AND(A343&gt;900,A343&lt;=1000),0.93,IF(AND(A343&gt;1000,A343&lt;=1100),0.93,IF(AND(A343&gt;1100,A343&lt;=1200),0.94,IF(AND(A343&gt;1200,A343&lt;=1300),0.94,IF(AND(A343&gt;1300,A343&lt;=1400),0.94,IF(AND(A343&gt;1400,A343&lt;=1500),0.94,IF(AND(A343&gt;1500,A343&lt;=1600),0.95,IF(AND(A343&gt;1600,A343&lt;=1700),0.95,IF(AND(A343&gt;1700,A343&lt;=1800),0.95,IF(AND(A343&gt;1800,A343&lt;=1900),0.95,IF(A343&gt;1900,0.96)))))))))))))))))))</f>
        <v>0.93</v>
      </c>
      <c r="C343" s="95">
        <f>IF(A343&lt;=100,0.87,IF(AND(A343&gt;100,A343&lt;=200),0.9,IF(AND(A343&gt;200,A343&lt;=400),0.91,IF(AND(A343&gt;400,A343&lt;=500),0.91,IF(AND(A343&gt;500,A343&lt;=600),0.92,IF(AND(A343&gt;600,A343&lt;=700),0.92,IF(AND(A343&gt;700,A343&lt;=800),0.93,IF(AND(A343&gt;800,A343&lt;=900),0.93,IF(AND(A343&gt;900,A343&lt;=1000),0.93,IF(AND(A343&gt;1000,A343&lt;=1100),0.94,IF(AND(A343&gt;1100,A343&lt;=1200),0.94,IF(AND(A343&gt;1200,A343&lt;=1300),0.94,IF(AND(A343&gt;1300,A343&lt;=1400),0.94,IF(AND(A343&gt;1400,A343&lt;=1500),0.95,IF(AND(A343&gt;1500,A343&lt;=1600),0.95,IF(AND(A343&gt;1600,A343&lt;=1700),0.95,IF(AND(A343&gt;1700,A343&lt;=1800),0.95,IF(AND(A343&gt;1800,A343&lt;=1900),0.96,IF(A343&gt;1900,1)))))))))))))))))))</f>
        <v>0.93</v>
      </c>
      <c r="D343" s="95">
        <f t="shared" si="37"/>
        <v>0</v>
      </c>
      <c r="E343" s="69">
        <f t="shared" si="38"/>
        <v>900</v>
      </c>
      <c r="F343" s="204">
        <f t="shared" si="39"/>
        <v>10.22342669612226</v>
      </c>
      <c r="G343" s="203">
        <f t="shared" si="40"/>
        <v>0.93</v>
      </c>
      <c r="H343" s="69">
        <f t="shared" si="41"/>
        <v>978.73486741518514</v>
      </c>
      <c r="I343" s="35" t="str">
        <f t="shared" si="42"/>
        <v>D</v>
      </c>
      <c r="J343" s="95">
        <f>IF(I343="A",$D$198,IF(I343="B",$D$199,IF(I343="C",$D$200,IF(I343="D",$D$201,IF(I343="E",$D$202,IF(I343="F",$D$202))))))</f>
        <v>80</v>
      </c>
      <c r="M343" s="47"/>
    </row>
    <row r="344" spans="1:13" x14ac:dyDescent="0.25">
      <c r="A344" s="69">
        <f>J34/12</f>
        <v>937.53012949700599</v>
      </c>
      <c r="B344" s="95">
        <f>IF(A344&lt;=100,0.83,IF(AND(A344&gt;100,A344&lt;=200),0.87,IF(AND(A344&gt;200,A344&lt;=400),0.9,IF(AND(A344&gt;400,A344&lt;=500),0.91,IF(AND(A344&gt;500,A344&lt;=600),0.91,IF(AND(A344&gt;600,A344&lt;=700),0.92,IF(AND(A344&gt;700,A344&lt;=800),0.92,IF(AND(A344&gt;800,A344&lt;=900),0.93,IF(AND(A344&gt;900,A344&lt;=1000),0.93,IF(AND(A344&gt;1000,A344&lt;=1100),0.93,IF(AND(A344&gt;1100,A344&lt;=1200),0.94,IF(AND(A344&gt;1200,A344&lt;=1300),0.94,IF(AND(A344&gt;1300,A344&lt;=1400),0.94,IF(AND(A344&gt;1400,A344&lt;=1500),0.94,IF(AND(A344&gt;1500,A344&lt;=1600),0.95,IF(AND(A344&gt;1600,A344&lt;=1700),0.95,IF(AND(A344&gt;1700,A344&lt;=1800),0.95,IF(AND(A344&gt;1800,A344&lt;=1900),0.95,IF(A344&gt;1900,0.96)))))))))))))))))))</f>
        <v>0.93</v>
      </c>
      <c r="C344" s="95">
        <f>IF(A344&lt;=100,0.87,IF(AND(A344&gt;100,A344&lt;=200),0.9,IF(AND(A344&gt;200,A344&lt;=400),0.91,IF(AND(A344&gt;400,A344&lt;=500),0.91,IF(AND(A344&gt;500,A344&lt;=600),0.92,IF(AND(A344&gt;600,A344&lt;=700),0.92,IF(AND(A344&gt;700,A344&lt;=800),0.93,IF(AND(A344&gt;800,A344&lt;=900),0.93,IF(AND(A344&gt;900,A344&lt;=1000),0.93,IF(AND(A344&gt;1000,A344&lt;=1100),0.94,IF(AND(A344&gt;1100,A344&lt;=1200),0.94,IF(AND(A344&gt;1200,A344&lt;=1300),0.94,IF(AND(A344&gt;1300,A344&lt;=1400),0.94,IF(AND(A344&gt;1400,A344&lt;=1500),0.95,IF(AND(A344&gt;1500,A344&lt;=1600),0.95,IF(AND(A344&gt;1600,A344&lt;=1700),0.95,IF(AND(A344&gt;1700,A344&lt;=1800),0.95,IF(AND(A344&gt;1800,A344&lt;=1900),0.96,IF(A344&gt;1900,1)))))))))))))))))))</f>
        <v>0.93</v>
      </c>
      <c r="D344" s="95">
        <f>C344-B344</f>
        <v>0</v>
      </c>
      <c r="E344" s="69">
        <f>IF(AND(A344&gt;=100,A344&lt;200),100,IF(AND(A344&gt;=200,A344&lt;300),200,IF(AND(A344&gt;=300,A344&lt;400),300,IF(AND(A344&gt;=400,A344&lt;500),400,IF(AND(A344&gt;=500,A344&lt;600),500,IF(AND(A344&gt;=600,A344&lt;700),600,IF(AND(A344&gt;=700,A344&lt;800),700,IF(AND(A344&gt;=800,A344&lt;900),800,IF(AND(A344&gt;=900,A344&lt;1000),900,IF(AND(A344&gt;=1000,A344&lt;1100),1000,IF(AND(A344&gt;=1100,A344&lt;1200),1100,IF(AND(A344&gt;=1200,A344&lt;1300),1200,IF(AND(A344&gt;=1300,A344&lt;1400),1300,IF(AND(A344&gt;=1400,A344&lt;1500),1400,IF(AND(A344&gt;=1500,A344&lt;1600),1500,IF(AND(A344&gt;=1600,A344&lt;1700),1600,IF(AND(A344&gt;=1700,A344&lt;1800),1700,IF(AND(A344&gt;=1800,A344&lt;1900),1800,IF(A344&gt;=1900,1900)))))))))))))))))))</f>
        <v>900</v>
      </c>
      <c r="F344" s="204">
        <f>A344-E344</f>
        <v>37.530129497005987</v>
      </c>
      <c r="G344" s="203">
        <f>B344+(D344*F344)/100</f>
        <v>0.93</v>
      </c>
      <c r="H344" s="69">
        <f>A344/G344</f>
        <v>1008.0969134376408</v>
      </c>
      <c r="I344" s="35" t="str">
        <f>IF(H344&lt;=$K$143,"A",IF(AND(H344&gt;$K$143,H344&lt;=$K$144),"B",IF(AND(H344&gt;$K$144,H344&lt;=$K$145),"C",IF(AND(H344&gt;$K$145,H344&lt;=$K$146),"D",IF(AND(H344&gt;$K$146,H344&lt;=$K$147),"E",IF(H344&gt;$K$147,"F"))))))</f>
        <v>D</v>
      </c>
      <c r="J344" s="95">
        <f>IF(I344="A",$D$198,IF(I344="B",$D$199,IF(I344="C",$D$200,IF(I344="D",$D$201,IF(I344="E",$D$202,IF(I344="F",$D$202))))))</f>
        <v>80</v>
      </c>
      <c r="K344" s="129"/>
    </row>
    <row r="345" spans="1:13" x14ac:dyDescent="0.25">
      <c r="A345" s="69">
        <f>J35/12</f>
        <v>965.65603338191602</v>
      </c>
      <c r="B345" s="95">
        <f>IF(A345&lt;=100,0.83,IF(AND(A345&gt;100,A345&lt;=200),0.87,IF(AND(A345&gt;200,A345&lt;=400),0.9,IF(AND(A345&gt;400,A345&lt;=500),0.91,IF(AND(A345&gt;500,A345&lt;=600),0.91,IF(AND(A345&gt;600,A345&lt;=700),0.92,IF(AND(A345&gt;700,A345&lt;=800),0.92,IF(AND(A345&gt;800,A345&lt;=900),0.93,IF(AND(A345&gt;900,A345&lt;=1000),0.93,IF(AND(A345&gt;1000,A345&lt;=1100),0.93,IF(AND(A345&gt;1100,A345&lt;=1200),0.94,IF(AND(A345&gt;1200,A345&lt;=1300),0.94,IF(AND(A345&gt;1300,A345&lt;=1400),0.94,IF(AND(A345&gt;1400,A345&lt;=1500),0.94,IF(AND(A345&gt;1500,A345&lt;=1600),0.95,IF(AND(A345&gt;1600,A345&lt;=1700),0.95,IF(AND(A345&gt;1700,A345&lt;=1800),0.95,IF(AND(A345&gt;1800,A345&lt;=1900),0.95,IF(A345&gt;1900,0.96)))))))))))))))))))</f>
        <v>0.93</v>
      </c>
      <c r="C345" s="95">
        <f>IF(A345&lt;=100,0.87,IF(AND(A345&gt;100,A345&lt;=200),0.9,IF(AND(A345&gt;200,A345&lt;=400),0.91,IF(AND(A345&gt;400,A345&lt;=500),0.91,IF(AND(A345&gt;500,A345&lt;=600),0.92,IF(AND(A345&gt;600,A345&lt;=700),0.92,IF(AND(A345&gt;700,A345&lt;=800),0.93,IF(AND(A345&gt;800,A345&lt;=900),0.93,IF(AND(A345&gt;900,A345&lt;=1000),0.93,IF(AND(A345&gt;1000,A345&lt;=1100),0.94,IF(AND(A345&gt;1100,A345&lt;=1200),0.94,IF(AND(A345&gt;1200,A345&lt;=1300),0.94,IF(AND(A345&gt;1300,A345&lt;=1400),0.94,IF(AND(A345&gt;1400,A345&lt;=1500),0.95,IF(AND(A345&gt;1500,A345&lt;=1600),0.95,IF(AND(A345&gt;1600,A345&lt;=1700),0.95,IF(AND(A345&gt;1700,A345&lt;=1800),0.95,IF(AND(A345&gt;1800,A345&lt;=1900),0.96,IF(A345&gt;1900,1)))))))))))))))))))</f>
        <v>0.93</v>
      </c>
      <c r="D345" s="95">
        <f>C345-B345</f>
        <v>0</v>
      </c>
      <c r="E345" s="69">
        <f>IF(AND(A345&gt;=100,A345&lt;200),100,IF(AND(A345&gt;=200,A345&lt;300),200,IF(AND(A345&gt;=300,A345&lt;400),300,IF(AND(A345&gt;=400,A345&lt;500),400,IF(AND(A345&gt;=500,A345&lt;600),500,IF(AND(A345&gt;=600,A345&lt;700),600,IF(AND(A345&gt;=700,A345&lt;800),700,IF(AND(A345&gt;=800,A345&lt;900),800,IF(AND(A345&gt;=900,A345&lt;1000),900,IF(AND(A345&gt;=1000,A345&lt;1100),1000,IF(AND(A345&gt;=1100,A345&lt;1200),1100,IF(AND(A345&gt;=1200,A345&lt;1300),1200,IF(AND(A345&gt;=1300,A345&lt;1400),1300,IF(AND(A345&gt;=1400,A345&lt;1500),1400,IF(AND(A345&gt;=1500,A345&lt;1600),1500,IF(AND(A345&gt;=1600,A345&lt;1700),1600,IF(AND(A345&gt;=1700,A345&lt;1800),1700,IF(AND(A345&gt;=1800,A345&lt;1900),1800,IF(A345&gt;=1900,1900)))))))))))))))))))</f>
        <v>900</v>
      </c>
      <c r="F345" s="204">
        <f>A345-E345</f>
        <v>65.656033381916018</v>
      </c>
      <c r="G345" s="203">
        <f>B345+(D345*F345)/100</f>
        <v>0.93</v>
      </c>
      <c r="H345" s="69">
        <f>A345/G345</f>
        <v>1038.3398208407698</v>
      </c>
      <c r="I345" s="35" t="str">
        <f>IF(H345&lt;=$K$143,"A",IF(AND(H345&gt;$K$143,H345&lt;=$K$144),"B",IF(AND(H345&gt;$K$144,H345&lt;=$K$145),"C",IF(AND(H345&gt;$K$145,H345&lt;=$K$146),"D",IF(AND(H345&gt;$K$146,H345&lt;=$K$147),"E",IF(H345&gt;$K$147,"F"))))))</f>
        <v>D</v>
      </c>
      <c r="J345" s="95">
        <f>IF(I345="A",$D$198,IF(I345="B",$D$199,IF(I345="C",$D$200,IF(I345="D",$D$201,IF(I345="E",$D$202,IF(I345="F",$D$202))))))</f>
        <v>80</v>
      </c>
      <c r="K345" s="129"/>
    </row>
    <row r="346" spans="1:13" x14ac:dyDescent="0.25">
      <c r="C346" s="129"/>
      <c r="K346" s="129"/>
    </row>
    <row r="347" spans="1:13" x14ac:dyDescent="0.25">
      <c r="A347" s="105" t="s">
        <v>444</v>
      </c>
      <c r="B347" s="105" t="s">
        <v>143</v>
      </c>
      <c r="C347" s="105" t="s">
        <v>480</v>
      </c>
      <c r="D347" s="105" t="s">
        <v>481</v>
      </c>
      <c r="E347" s="487" t="s">
        <v>482</v>
      </c>
      <c r="F347" s="105" t="s">
        <v>483</v>
      </c>
      <c r="G347" s="105" t="s">
        <v>143</v>
      </c>
      <c r="H347" s="169" t="s">
        <v>380</v>
      </c>
      <c r="I347" s="125" t="s">
        <v>19</v>
      </c>
      <c r="J347" s="125" t="s">
        <v>20</v>
      </c>
      <c r="K347" s="253"/>
      <c r="L347" s="253"/>
    </row>
    <row r="348" spans="1:13" x14ac:dyDescent="0.25">
      <c r="A348" s="69">
        <f t="shared" ref="A348:A378" si="44">J40/12</f>
        <v>375</v>
      </c>
      <c r="B348" s="95">
        <f>IF(A348&lt;=100,0.83,IF(AND(A348&gt;100,A348&lt;=200),0.87,IF(AND(A348&gt;200,A348&lt;=400),0.9,IF(AND(A348&gt;400,A348&lt;=500),0.91,IF(AND(A348&gt;500,A348&lt;=600),0.91,IF(AND(A348&gt;600,A348&lt;=700),0.92,IF(AND(A348&gt;700,A348&lt;=800),0.92,IF(AND(A348&gt;800,A348&lt;=900),0.93,IF(AND(A348&gt;900,A348&lt;=1000),0.93,IF(AND(A348&gt;1000,A348&lt;=1100),0.93,IF(AND(A348&gt;1100,A348&lt;=1200),0.94,IF(AND(A348&gt;1200,A348&lt;=1300),0.94,IF(AND(A348&gt;1300,A348&lt;=1400),0.94,IF(AND(A348&gt;1400,A348&lt;=1500),0.94,IF(AND(A348&gt;1500,A348&lt;=1600),0.95,IF(AND(A348&gt;1600,A348&lt;=1700),0.95,IF(AND(A348&gt;1700,A348&lt;=1800),0.95,IF(AND(A348&gt;1800,A348&lt;=1900),0.95,IF(A348&gt;1900,0.96)))))))))))))))))))</f>
        <v>0.9</v>
      </c>
      <c r="C348" s="95">
        <f>IF(A348&lt;=100,0.87,IF(AND(A348&gt;100,A348&lt;=200),0.9,IF(AND(A348&gt;200,A348&lt;=400),0.91,IF(AND(A348&gt;400,A348&lt;=500),0.91,IF(AND(A348&gt;500,A348&lt;=600),0.92,IF(AND(A348&gt;600,A348&lt;=700),0.92,IF(AND(A348&gt;700,A348&lt;=800),0.93,IF(AND(A348&gt;800,A348&lt;=900),0.93,IF(AND(A348&gt;900,A348&lt;=1000),0.93,IF(AND(A348&gt;1000,A348&lt;=1100),0.94,IF(AND(A348&gt;1100,A348&lt;=1200),0.94,IF(AND(A348&gt;1200,A348&lt;=1300),0.94,IF(AND(A348&gt;1300,A348&lt;=1400),0.94,IF(AND(A348&gt;1400,A348&lt;=1500),0.95,IF(AND(A348&gt;1500,A348&lt;=1600),0.95,IF(AND(A348&gt;1600,A348&lt;=1700),0.95,IF(AND(A348&gt;1700,A348&lt;=1800),0.95,IF(AND(A348&gt;1800,A348&lt;=1900),0.96,IF(A348&gt;1900,1)))))))))))))))))))</f>
        <v>0.91</v>
      </c>
      <c r="D348" s="95">
        <f t="shared" ref="D348:D378" si="45">C348-B348</f>
        <v>1.0000000000000009E-2</v>
      </c>
      <c r="E348" s="69">
        <f t="shared" ref="E348:E377" si="46">IF(AND(A348&gt;=100,A348&lt;200),100,IF(AND(A348&gt;=200,A348&lt;300),200,IF(AND(A348&gt;=300,A348&lt;400),300,IF(AND(A348&gt;=400,A348&lt;500),400,IF(AND(A348&gt;=500,A348&lt;600),500,IF(AND(A348&gt;=600,A348&lt;700),600,IF(AND(A348&gt;=700,A348&lt;800),700,IF(AND(A348&gt;=800,A348&lt;900),800,IF(AND(A348&gt;=900,A348&lt;1000),900,IF(AND(A348&gt;=1000,A348&lt;1100),1000,IF(AND(A348&gt;=1100,A348&lt;1200),1100,IF(AND(A348&gt;=1200,A348&lt;1300),1200,IF(AND(A348&gt;=1300,A348&lt;1400),1300,IF(AND(A348&gt;=1400,A348&lt;1500),1400,IF(AND(A348&gt;=1500,A348&lt;1600),1500,IF(AND(A348&gt;=1600,A348&lt;1700),1600,IF(AND(A348&gt;=1700,A348&lt;1800),1700,IF(AND(A348&gt;=1800,A348&lt;1900),1800,IF(A348&gt;=1900,1900)))))))))))))))))))</f>
        <v>300</v>
      </c>
      <c r="F348" s="204">
        <f>A348-E348</f>
        <v>75</v>
      </c>
      <c r="G348" s="203">
        <f>B348+(D348*F348)/100</f>
        <v>0.90749999999999997</v>
      </c>
      <c r="H348" s="69">
        <f>A348/G348</f>
        <v>413.22314049586777</v>
      </c>
      <c r="I348" s="35" t="str">
        <f>IF(H348&lt;=$K$151,"A",IF(AND(H348&gt;$K$151,H348&lt;=$K$152),"B",IF(AND(H348&gt;$K$152,H348&lt;=$K$153),"C",IF(AND(H348&gt;$K$153,H348&lt;=$K$154),"D",IF(AND(H348&gt;$K$154,H348&lt;=$K$155),"E",IF(H348&gt;$K$155,"F"))))))</f>
        <v>B</v>
      </c>
      <c r="J348" s="95">
        <f>IF(I348="A",$D$210,IF(I348="B",$D$211,IF(I348="C",$D$212,IF(I348="D",$D$213,IF(I348="E",$D$214,IF(I348="F",$D$202))))))</f>
        <v>88</v>
      </c>
      <c r="K348" s="353"/>
      <c r="L348" s="47"/>
    </row>
    <row r="349" spans="1:13" x14ac:dyDescent="0.25">
      <c r="A349" s="69">
        <f t="shared" si="44"/>
        <v>386.25</v>
      </c>
      <c r="B349" s="95">
        <f t="shared" ref="B349:B378" si="47">IF(A349&lt;=100,0.83,IF(AND(A349&gt;100,A349&lt;=200),0.87,IF(AND(A349&gt;200,A349&lt;=400),0.9,IF(AND(A349&gt;400,A349&lt;=500),0.91,IF(AND(A349&gt;500,A349&lt;=600),0.91,IF(AND(A349&gt;600,A349&lt;=700),0.92,IF(AND(A349&gt;700,A349&lt;=800),0.92,IF(AND(A349&gt;800,A349&lt;=900),0.93,IF(AND(A349&gt;900,A349&lt;=1000),0.93,IF(AND(A349&gt;1000,A349&lt;=1100),0.93,IF(AND(A349&gt;1100,A349&lt;=1200),0.94,IF(AND(A349&gt;1200,A349&lt;=1300),0.94,IF(AND(A349&gt;1300,A349&lt;=1400),0.94,IF(AND(A349&gt;1400,A349&lt;=1500),0.94,IF(AND(A349&gt;1500,A349&lt;=1600),0.95,IF(AND(A349&gt;1600,A349&lt;=1700),0.95,IF(AND(A349&gt;1700,A349&lt;=1800),0.95,IF(AND(A349&gt;1800,A349&lt;=1900),0.95,IF(A349&gt;1900,0.96)))))))))))))))))))</f>
        <v>0.9</v>
      </c>
      <c r="C349" s="95">
        <f t="shared" ref="C349:C378" si="48">IF(A349&lt;=100,0.87,IF(AND(A349&gt;100,A349&lt;=200),0.9,IF(AND(A349&gt;200,A349&lt;=400),0.91,IF(AND(A349&gt;400,A349&lt;=500),0.91,IF(AND(A349&gt;500,A349&lt;=600),0.92,IF(AND(A349&gt;600,A349&lt;=700),0.92,IF(AND(A349&gt;700,A349&lt;=800),0.93,IF(AND(A349&gt;800,A349&lt;=900),0.93,IF(AND(A349&gt;900,A349&lt;=1000),0.93,IF(AND(A349&gt;1000,A349&lt;=1100),0.94,IF(AND(A349&gt;1100,A349&lt;=1200),0.94,IF(AND(A349&gt;1200,A349&lt;=1300),0.94,IF(AND(A349&gt;1300,A349&lt;=1400),0.94,IF(AND(A349&gt;1400,A349&lt;=1500),0.95,IF(AND(A349&gt;1500,A349&lt;=1600),0.95,IF(AND(A349&gt;1600,A349&lt;=1700),0.95,IF(AND(A349&gt;1700,A349&lt;=1800),0.95,IF(AND(A349&gt;1800,A349&lt;=1900),0.96,IF(A349&gt;1900,1)))))))))))))))))))</f>
        <v>0.91</v>
      </c>
      <c r="D349" s="95">
        <f t="shared" si="45"/>
        <v>1.0000000000000009E-2</v>
      </c>
      <c r="E349" s="69">
        <f t="shared" si="46"/>
        <v>300</v>
      </c>
      <c r="F349" s="204">
        <f t="shared" ref="F349:F378" si="49">A349-E349</f>
        <v>86.25</v>
      </c>
      <c r="G349" s="203">
        <f t="shared" ref="G349:G377" si="50">B349+(D349*F349)/100</f>
        <v>0.90862500000000002</v>
      </c>
      <c r="H349" s="69">
        <f t="shared" ref="H349:H377" si="51">A349/G349</f>
        <v>425.09286009079653</v>
      </c>
      <c r="I349" s="35" t="str">
        <f t="shared" ref="I349:I378" si="52">IF(H349&lt;=$K$151,"A",IF(AND(H349&gt;$K$151,H349&lt;=$K$152),"B",IF(AND(H349&gt;$K$152,H349&lt;=$K$153),"C",IF(AND(H349&gt;$K$153,H349&lt;=$K$154),"D",IF(AND(H349&gt;$K$154,H349&lt;=$K$155),"E",IF(H349&gt;$K$155,"F"))))))</f>
        <v>B</v>
      </c>
      <c r="J349" s="95">
        <f t="shared" ref="J349:J378" si="53">IF(I349="A",$D$210,IF(I349="B",$D$211,IF(I349="C",$D$212,IF(I349="D",$D$213,IF(I349="E",$D$214,IF(I349="F",$D$202))))))</f>
        <v>88</v>
      </c>
      <c r="K349" s="353"/>
      <c r="L349" s="47"/>
    </row>
    <row r="350" spans="1:13" x14ac:dyDescent="0.25">
      <c r="A350" s="69">
        <f t="shared" si="44"/>
        <v>397.83749999999986</v>
      </c>
      <c r="B350" s="95">
        <f t="shared" si="47"/>
        <v>0.9</v>
      </c>
      <c r="C350" s="95">
        <f t="shared" si="48"/>
        <v>0.91</v>
      </c>
      <c r="D350" s="95">
        <f t="shared" si="45"/>
        <v>1.0000000000000009E-2</v>
      </c>
      <c r="E350" s="69">
        <f t="shared" si="46"/>
        <v>300</v>
      </c>
      <c r="F350" s="204">
        <f t="shared" si="49"/>
        <v>97.837499999999864</v>
      </c>
      <c r="G350" s="203">
        <f t="shared" si="50"/>
        <v>0.90978375</v>
      </c>
      <c r="H350" s="69">
        <f t="shared" si="51"/>
        <v>437.28798189679674</v>
      </c>
      <c r="I350" s="35" t="str">
        <f t="shared" si="52"/>
        <v>B</v>
      </c>
      <c r="J350" s="95">
        <f t="shared" si="53"/>
        <v>88</v>
      </c>
      <c r="K350" s="353"/>
      <c r="L350" s="47"/>
    </row>
    <row r="351" spans="1:13" x14ac:dyDescent="0.25">
      <c r="A351" s="69">
        <f t="shared" si="44"/>
        <v>409.77262500000001</v>
      </c>
      <c r="B351" s="95">
        <f t="shared" si="47"/>
        <v>0.91</v>
      </c>
      <c r="C351" s="95">
        <f t="shared" si="48"/>
        <v>0.91</v>
      </c>
      <c r="D351" s="95">
        <f t="shared" si="45"/>
        <v>0</v>
      </c>
      <c r="E351" s="69">
        <f t="shared" si="46"/>
        <v>400</v>
      </c>
      <c r="F351" s="204">
        <f t="shared" si="49"/>
        <v>9.772625000000005</v>
      </c>
      <c r="G351" s="203">
        <f t="shared" si="50"/>
        <v>0.91</v>
      </c>
      <c r="H351" s="69">
        <f t="shared" si="51"/>
        <v>450.29958791208793</v>
      </c>
      <c r="I351" s="35" t="str">
        <f t="shared" si="52"/>
        <v>B</v>
      </c>
      <c r="J351" s="95">
        <f t="shared" si="53"/>
        <v>88</v>
      </c>
      <c r="K351" s="353"/>
      <c r="L351" s="47"/>
    </row>
    <row r="352" spans="1:13" x14ac:dyDescent="0.25">
      <c r="A352" s="69">
        <f t="shared" si="44"/>
        <v>422.06580375000004</v>
      </c>
      <c r="B352" s="95">
        <f t="shared" si="47"/>
        <v>0.91</v>
      </c>
      <c r="C352" s="95">
        <f t="shared" si="48"/>
        <v>0.91</v>
      </c>
      <c r="D352" s="95">
        <f t="shared" si="45"/>
        <v>0</v>
      </c>
      <c r="E352" s="69">
        <f t="shared" si="46"/>
        <v>400</v>
      </c>
      <c r="F352" s="204">
        <f t="shared" si="49"/>
        <v>22.065803750000043</v>
      </c>
      <c r="G352" s="203">
        <f t="shared" si="50"/>
        <v>0.91</v>
      </c>
      <c r="H352" s="69">
        <f t="shared" si="51"/>
        <v>463.80857554945061</v>
      </c>
      <c r="I352" s="35" t="str">
        <f t="shared" si="52"/>
        <v>B</v>
      </c>
      <c r="J352" s="95">
        <f t="shared" si="53"/>
        <v>88</v>
      </c>
      <c r="K352" s="353"/>
      <c r="L352" s="47"/>
    </row>
    <row r="353" spans="1:12" x14ac:dyDescent="0.25">
      <c r="A353" s="69">
        <f t="shared" si="44"/>
        <v>434.72777786249998</v>
      </c>
      <c r="B353" s="95">
        <f t="shared" si="47"/>
        <v>0.91</v>
      </c>
      <c r="C353" s="95">
        <f t="shared" si="48"/>
        <v>0.91</v>
      </c>
      <c r="D353" s="95">
        <f t="shared" si="45"/>
        <v>0</v>
      </c>
      <c r="E353" s="69">
        <f t="shared" si="46"/>
        <v>400</v>
      </c>
      <c r="F353" s="204">
        <f t="shared" si="49"/>
        <v>34.727777862499977</v>
      </c>
      <c r="G353" s="203">
        <f t="shared" si="50"/>
        <v>0.91</v>
      </c>
      <c r="H353" s="69">
        <f t="shared" si="51"/>
        <v>477.722832815934</v>
      </c>
      <c r="I353" s="35" t="str">
        <f t="shared" si="52"/>
        <v>B</v>
      </c>
      <c r="J353" s="95">
        <f t="shared" si="53"/>
        <v>88</v>
      </c>
      <c r="K353" s="353"/>
      <c r="L353" s="47"/>
    </row>
    <row r="354" spans="1:12" x14ac:dyDescent="0.25">
      <c r="A354" s="69">
        <f t="shared" si="44"/>
        <v>447.76961119837489</v>
      </c>
      <c r="B354" s="95">
        <f t="shared" si="47"/>
        <v>0.91</v>
      </c>
      <c r="C354" s="95">
        <f t="shared" si="48"/>
        <v>0.91</v>
      </c>
      <c r="D354" s="95">
        <f t="shared" si="45"/>
        <v>0</v>
      </c>
      <c r="E354" s="69">
        <f t="shared" si="46"/>
        <v>400</v>
      </c>
      <c r="F354" s="204">
        <f t="shared" si="49"/>
        <v>47.769611198374889</v>
      </c>
      <c r="G354" s="203">
        <f t="shared" si="50"/>
        <v>0.91</v>
      </c>
      <c r="H354" s="69">
        <f t="shared" si="51"/>
        <v>492.05451780041193</v>
      </c>
      <c r="I354" s="35" t="str">
        <f t="shared" si="52"/>
        <v>B</v>
      </c>
      <c r="J354" s="95">
        <f t="shared" si="53"/>
        <v>88</v>
      </c>
      <c r="K354" s="353"/>
      <c r="L354" s="47"/>
    </row>
    <row r="355" spans="1:12" x14ac:dyDescent="0.25">
      <c r="A355" s="69">
        <f t="shared" si="44"/>
        <v>461.20269953432626</v>
      </c>
      <c r="B355" s="95">
        <f t="shared" si="47"/>
        <v>0.91</v>
      </c>
      <c r="C355" s="95">
        <f t="shared" si="48"/>
        <v>0.91</v>
      </c>
      <c r="D355" s="95">
        <f t="shared" si="45"/>
        <v>0</v>
      </c>
      <c r="E355" s="69">
        <f t="shared" si="46"/>
        <v>400</v>
      </c>
      <c r="F355" s="204">
        <f t="shared" si="49"/>
        <v>61.202699534326257</v>
      </c>
      <c r="G355" s="203">
        <f t="shared" si="50"/>
        <v>0.91</v>
      </c>
      <c r="H355" s="69">
        <f t="shared" si="51"/>
        <v>506.81615333442443</v>
      </c>
      <c r="I355" s="35" t="str">
        <f t="shared" si="52"/>
        <v>B</v>
      </c>
      <c r="J355" s="95">
        <f t="shared" si="53"/>
        <v>88</v>
      </c>
      <c r="K355" s="353"/>
      <c r="L355" s="47"/>
    </row>
    <row r="356" spans="1:12" x14ac:dyDescent="0.25">
      <c r="A356" s="69">
        <f t="shared" si="44"/>
        <v>475.03878052035606</v>
      </c>
      <c r="B356" s="95">
        <f t="shared" si="47"/>
        <v>0.91</v>
      </c>
      <c r="C356" s="95">
        <f t="shared" si="48"/>
        <v>0.91</v>
      </c>
      <c r="D356" s="95">
        <f t="shared" si="45"/>
        <v>0</v>
      </c>
      <c r="E356" s="69">
        <f t="shared" si="46"/>
        <v>400</v>
      </c>
      <c r="F356" s="204">
        <f t="shared" si="49"/>
        <v>75.038780520356056</v>
      </c>
      <c r="G356" s="203">
        <f t="shared" si="50"/>
        <v>0.91</v>
      </c>
      <c r="H356" s="69">
        <f t="shared" si="51"/>
        <v>522.02063793445723</v>
      </c>
      <c r="I356" s="35" t="str">
        <f t="shared" si="52"/>
        <v>C</v>
      </c>
      <c r="J356" s="95">
        <f t="shared" si="53"/>
        <v>83</v>
      </c>
      <c r="K356" s="353"/>
      <c r="L356" s="47"/>
    </row>
    <row r="357" spans="1:12" x14ac:dyDescent="0.25">
      <c r="A357" s="69">
        <f t="shared" si="44"/>
        <v>489.28994393596668</v>
      </c>
      <c r="B357" s="95">
        <f t="shared" si="47"/>
        <v>0.91</v>
      </c>
      <c r="C357" s="95">
        <f t="shared" si="48"/>
        <v>0.91</v>
      </c>
      <c r="D357" s="95">
        <f t="shared" si="45"/>
        <v>0</v>
      </c>
      <c r="E357" s="69">
        <f t="shared" si="46"/>
        <v>400</v>
      </c>
      <c r="F357" s="204">
        <f t="shared" si="49"/>
        <v>89.289943935966676</v>
      </c>
      <c r="G357" s="203">
        <f t="shared" si="50"/>
        <v>0.91</v>
      </c>
      <c r="H357" s="69">
        <f t="shared" si="51"/>
        <v>537.68125707249078</v>
      </c>
      <c r="I357" s="35" t="str">
        <f t="shared" si="52"/>
        <v>C</v>
      </c>
      <c r="J357" s="95">
        <f t="shared" si="53"/>
        <v>83</v>
      </c>
      <c r="K357" s="353"/>
      <c r="L357" s="47"/>
    </row>
    <row r="358" spans="1:12" x14ac:dyDescent="0.25">
      <c r="A358" s="69">
        <f t="shared" si="44"/>
        <v>503.96864225404573</v>
      </c>
      <c r="B358" s="95">
        <f t="shared" si="47"/>
        <v>0.91</v>
      </c>
      <c r="C358" s="95">
        <f t="shared" si="48"/>
        <v>0.92</v>
      </c>
      <c r="D358" s="95">
        <f t="shared" si="45"/>
        <v>1.0000000000000009E-2</v>
      </c>
      <c r="E358" s="69">
        <f t="shared" si="46"/>
        <v>500</v>
      </c>
      <c r="F358" s="204">
        <f t="shared" si="49"/>
        <v>3.9686422540457329</v>
      </c>
      <c r="G358" s="203">
        <f t="shared" si="50"/>
        <v>0.91039686422540456</v>
      </c>
      <c r="H358" s="69">
        <f t="shared" si="51"/>
        <v>553.57027474258575</v>
      </c>
      <c r="I358" s="35" t="str">
        <f t="shared" si="52"/>
        <v>C</v>
      </c>
      <c r="J358" s="95">
        <f t="shared" si="53"/>
        <v>83</v>
      </c>
      <c r="K358" s="353"/>
      <c r="L358" s="47"/>
    </row>
    <row r="359" spans="1:12" x14ac:dyDescent="0.25">
      <c r="A359" s="69">
        <f t="shared" si="44"/>
        <v>519.0877015216671</v>
      </c>
      <c r="B359" s="95">
        <f t="shared" si="47"/>
        <v>0.91</v>
      </c>
      <c r="C359" s="95">
        <f t="shared" si="48"/>
        <v>0.92</v>
      </c>
      <c r="D359" s="95">
        <f t="shared" si="45"/>
        <v>1.0000000000000009E-2</v>
      </c>
      <c r="E359" s="69">
        <f t="shared" si="46"/>
        <v>500</v>
      </c>
      <c r="F359" s="204">
        <f t="shared" si="49"/>
        <v>19.0877015216671</v>
      </c>
      <c r="G359" s="203">
        <f t="shared" si="50"/>
        <v>0.91190877015216676</v>
      </c>
      <c r="H359" s="69">
        <f t="shared" si="51"/>
        <v>569.23205315269524</v>
      </c>
      <c r="I359" s="35" t="str">
        <f t="shared" si="52"/>
        <v>C</v>
      </c>
      <c r="J359" s="95">
        <f t="shared" si="53"/>
        <v>83</v>
      </c>
      <c r="K359" s="353"/>
      <c r="L359" s="47"/>
    </row>
    <row r="360" spans="1:12" x14ac:dyDescent="0.25">
      <c r="A360" s="69">
        <f t="shared" si="44"/>
        <v>534.66033256731714</v>
      </c>
      <c r="B360" s="95">
        <f t="shared" si="47"/>
        <v>0.91</v>
      </c>
      <c r="C360" s="95">
        <f t="shared" si="48"/>
        <v>0.92</v>
      </c>
      <c r="D360" s="95">
        <f t="shared" si="45"/>
        <v>1.0000000000000009E-2</v>
      </c>
      <c r="E360" s="69">
        <f t="shared" si="46"/>
        <v>500</v>
      </c>
      <c r="F360" s="204">
        <f t="shared" si="49"/>
        <v>34.660332567317141</v>
      </c>
      <c r="G360" s="203">
        <f t="shared" si="50"/>
        <v>0.9134660332567317</v>
      </c>
      <c r="H360" s="69">
        <f t="shared" si="51"/>
        <v>585.30948398937312</v>
      </c>
      <c r="I360" s="35" t="str">
        <f t="shared" si="52"/>
        <v>C</v>
      </c>
      <c r="J360" s="95">
        <f t="shared" si="53"/>
        <v>83</v>
      </c>
      <c r="K360" s="353"/>
      <c r="L360" s="47"/>
    </row>
    <row r="361" spans="1:12" x14ac:dyDescent="0.25">
      <c r="A361" s="69">
        <f t="shared" si="44"/>
        <v>550.70014254433647</v>
      </c>
      <c r="B361" s="95">
        <f t="shared" si="47"/>
        <v>0.91</v>
      </c>
      <c r="C361" s="95">
        <f t="shared" si="48"/>
        <v>0.92</v>
      </c>
      <c r="D361" s="95">
        <f t="shared" si="45"/>
        <v>1.0000000000000009E-2</v>
      </c>
      <c r="E361" s="69">
        <f t="shared" si="46"/>
        <v>500</v>
      </c>
      <c r="F361" s="204">
        <f t="shared" si="49"/>
        <v>50.700142544336472</v>
      </c>
      <c r="G361" s="203">
        <f t="shared" si="50"/>
        <v>0.91507001425443368</v>
      </c>
      <c r="H361" s="69">
        <f t="shared" si="51"/>
        <v>601.81202964346642</v>
      </c>
      <c r="I361" s="35" t="str">
        <f t="shared" si="52"/>
        <v>C</v>
      </c>
      <c r="J361" s="95">
        <f t="shared" si="53"/>
        <v>83</v>
      </c>
      <c r="K361" s="353"/>
      <c r="L361" s="47"/>
    </row>
    <row r="362" spans="1:12" x14ac:dyDescent="0.25">
      <c r="A362" s="69">
        <f t="shared" si="44"/>
        <v>567.2211468206666</v>
      </c>
      <c r="B362" s="95">
        <f t="shared" si="47"/>
        <v>0.91</v>
      </c>
      <c r="C362" s="95">
        <f t="shared" si="48"/>
        <v>0.92</v>
      </c>
      <c r="D362" s="95">
        <f t="shared" si="45"/>
        <v>1.0000000000000009E-2</v>
      </c>
      <c r="E362" s="69">
        <f t="shared" si="46"/>
        <v>500</v>
      </c>
      <c r="F362" s="204">
        <f t="shared" si="49"/>
        <v>67.221146820666604</v>
      </c>
      <c r="G362" s="203">
        <f t="shared" si="50"/>
        <v>0.91672211468206666</v>
      </c>
      <c r="H362" s="69">
        <f t="shared" si="51"/>
        <v>618.74927825580778</v>
      </c>
      <c r="I362" s="35" t="str">
        <f t="shared" si="52"/>
        <v>C</v>
      </c>
      <c r="J362" s="95">
        <f t="shared" si="53"/>
        <v>83</v>
      </c>
      <c r="K362" s="353"/>
      <c r="L362" s="47"/>
    </row>
    <row r="363" spans="1:12" x14ac:dyDescent="0.25">
      <c r="A363" s="69">
        <f t="shared" si="44"/>
        <v>584.23778122528665</v>
      </c>
      <c r="B363" s="95">
        <f t="shared" si="47"/>
        <v>0.91</v>
      </c>
      <c r="C363" s="95">
        <f t="shared" si="48"/>
        <v>0.92</v>
      </c>
      <c r="D363" s="95">
        <f t="shared" si="45"/>
        <v>1.0000000000000009E-2</v>
      </c>
      <c r="E363" s="69">
        <f t="shared" si="46"/>
        <v>500</v>
      </c>
      <c r="F363" s="204">
        <f t="shared" si="49"/>
        <v>84.237781225286653</v>
      </c>
      <c r="G363" s="203">
        <f t="shared" si="50"/>
        <v>0.91842377812252873</v>
      </c>
      <c r="H363" s="69">
        <f t="shared" si="51"/>
        <v>636.13093992362019</v>
      </c>
      <c r="I363" s="35" t="str">
        <f t="shared" si="52"/>
        <v>C</v>
      </c>
      <c r="J363" s="95">
        <f t="shared" si="53"/>
        <v>83</v>
      </c>
      <c r="K363" s="353"/>
      <c r="L363" s="47"/>
    </row>
    <row r="364" spans="1:12" x14ac:dyDescent="0.25">
      <c r="A364" s="69">
        <f t="shared" si="44"/>
        <v>601.76491466204516</v>
      </c>
      <c r="B364" s="95">
        <f t="shared" si="47"/>
        <v>0.92</v>
      </c>
      <c r="C364" s="95">
        <f t="shared" si="48"/>
        <v>0.92</v>
      </c>
      <c r="D364" s="95">
        <f t="shared" si="45"/>
        <v>0</v>
      </c>
      <c r="E364" s="69">
        <f t="shared" si="46"/>
        <v>600</v>
      </c>
      <c r="F364" s="204">
        <f t="shared" si="49"/>
        <v>1.7649146620451575</v>
      </c>
      <c r="G364" s="203">
        <f t="shared" si="50"/>
        <v>0.92</v>
      </c>
      <c r="H364" s="69">
        <f t="shared" si="51"/>
        <v>654.09229854570128</v>
      </c>
      <c r="I364" s="35" t="str">
        <f t="shared" si="52"/>
        <v>C</v>
      </c>
      <c r="J364" s="95">
        <f t="shared" si="53"/>
        <v>83</v>
      </c>
      <c r="K364" s="353"/>
      <c r="L364" s="47"/>
    </row>
    <row r="365" spans="1:12" x14ac:dyDescent="0.25">
      <c r="A365" s="69">
        <f t="shared" si="44"/>
        <v>619.8178621019066</v>
      </c>
      <c r="B365" s="95">
        <f t="shared" si="47"/>
        <v>0.92</v>
      </c>
      <c r="C365" s="95">
        <f t="shared" si="48"/>
        <v>0.92</v>
      </c>
      <c r="D365" s="95">
        <f t="shared" si="45"/>
        <v>0</v>
      </c>
      <c r="E365" s="69">
        <f t="shared" si="46"/>
        <v>600</v>
      </c>
      <c r="F365" s="204">
        <f t="shared" si="49"/>
        <v>19.817862101906599</v>
      </c>
      <c r="G365" s="203">
        <f t="shared" si="50"/>
        <v>0.92</v>
      </c>
      <c r="H365" s="69">
        <f t="shared" si="51"/>
        <v>673.71506750207232</v>
      </c>
      <c r="I365" s="35" t="str">
        <f t="shared" si="52"/>
        <v>C</v>
      </c>
      <c r="J365" s="95">
        <f t="shared" si="53"/>
        <v>83</v>
      </c>
      <c r="K365" s="353"/>
      <c r="L365" s="47"/>
    </row>
    <row r="366" spans="1:12" x14ac:dyDescent="0.25">
      <c r="A366" s="69">
        <f t="shared" si="44"/>
        <v>638.4123979649637</v>
      </c>
      <c r="B366" s="95">
        <f t="shared" si="47"/>
        <v>0.92</v>
      </c>
      <c r="C366" s="95">
        <f t="shared" si="48"/>
        <v>0.92</v>
      </c>
      <c r="D366" s="95">
        <f t="shared" si="45"/>
        <v>0</v>
      </c>
      <c r="E366" s="69">
        <f t="shared" si="46"/>
        <v>600</v>
      </c>
      <c r="F366" s="204">
        <f t="shared" si="49"/>
        <v>38.412397964963702</v>
      </c>
      <c r="G366" s="203">
        <f t="shared" si="50"/>
        <v>0.92</v>
      </c>
      <c r="H366" s="69">
        <f t="shared" si="51"/>
        <v>693.92651952713447</v>
      </c>
      <c r="I366" s="35" t="str">
        <f t="shared" si="52"/>
        <v>C</v>
      </c>
      <c r="J366" s="95">
        <f t="shared" si="53"/>
        <v>83</v>
      </c>
      <c r="K366" s="353"/>
      <c r="L366" s="47"/>
    </row>
    <row r="367" spans="1:12" x14ac:dyDescent="0.25">
      <c r="A367" s="69">
        <f t="shared" si="44"/>
        <v>657.56476990391263</v>
      </c>
      <c r="B367" s="95">
        <f t="shared" si="47"/>
        <v>0.92</v>
      </c>
      <c r="C367" s="95">
        <f t="shared" si="48"/>
        <v>0.92</v>
      </c>
      <c r="D367" s="95">
        <f t="shared" si="45"/>
        <v>0</v>
      </c>
      <c r="E367" s="69">
        <f t="shared" si="46"/>
        <v>600</v>
      </c>
      <c r="F367" s="204">
        <f t="shared" si="49"/>
        <v>57.564769903912634</v>
      </c>
      <c r="G367" s="203">
        <f t="shared" si="50"/>
        <v>0.92</v>
      </c>
      <c r="H367" s="69">
        <f t="shared" si="51"/>
        <v>714.74431511294847</v>
      </c>
      <c r="I367" s="35" t="str">
        <f t="shared" si="52"/>
        <v>C</v>
      </c>
      <c r="J367" s="95">
        <f t="shared" si="53"/>
        <v>83</v>
      </c>
      <c r="K367" s="353"/>
      <c r="L367" s="47"/>
    </row>
    <row r="368" spans="1:12" x14ac:dyDescent="0.25">
      <c r="A368" s="69">
        <f t="shared" si="44"/>
        <v>677.29171300103008</v>
      </c>
      <c r="B368" s="95">
        <f t="shared" si="47"/>
        <v>0.92</v>
      </c>
      <c r="C368" s="95">
        <f t="shared" si="48"/>
        <v>0.92</v>
      </c>
      <c r="D368" s="95">
        <f t="shared" si="45"/>
        <v>0</v>
      </c>
      <c r="E368" s="69">
        <f t="shared" si="46"/>
        <v>600</v>
      </c>
      <c r="F368" s="204">
        <f t="shared" si="49"/>
        <v>77.291713001030075</v>
      </c>
      <c r="G368" s="203">
        <f t="shared" si="50"/>
        <v>0.92</v>
      </c>
      <c r="H368" s="69">
        <f t="shared" si="51"/>
        <v>736.18664456633701</v>
      </c>
      <c r="I368" s="35" t="str">
        <f t="shared" si="52"/>
        <v>C</v>
      </c>
      <c r="J368" s="95">
        <f t="shared" si="53"/>
        <v>83</v>
      </c>
      <c r="K368" s="353"/>
      <c r="L368" s="47"/>
    </row>
    <row r="369" spans="1:12" x14ac:dyDescent="0.25">
      <c r="A369" s="69">
        <f t="shared" si="44"/>
        <v>697.61046439106076</v>
      </c>
      <c r="B369" s="95">
        <f t="shared" si="47"/>
        <v>0.92</v>
      </c>
      <c r="C369" s="95">
        <f t="shared" si="48"/>
        <v>0.92</v>
      </c>
      <c r="D369" s="95">
        <f t="shared" si="45"/>
        <v>0</v>
      </c>
      <c r="E369" s="69">
        <f t="shared" si="46"/>
        <v>600</v>
      </c>
      <c r="F369" s="204">
        <f t="shared" si="49"/>
        <v>97.610464391060759</v>
      </c>
      <c r="G369" s="203">
        <f t="shared" si="50"/>
        <v>0.92</v>
      </c>
      <c r="H369" s="69">
        <f t="shared" si="51"/>
        <v>758.27224390332685</v>
      </c>
      <c r="I369" s="35" t="str">
        <f t="shared" si="52"/>
        <v>C</v>
      </c>
      <c r="J369" s="95">
        <f t="shared" si="53"/>
        <v>83</v>
      </c>
      <c r="K369" s="353"/>
      <c r="L369" s="47"/>
    </row>
    <row r="370" spans="1:12" x14ac:dyDescent="0.25">
      <c r="A370" s="69">
        <f t="shared" si="44"/>
        <v>718.53877832279261</v>
      </c>
      <c r="B370" s="95">
        <f t="shared" si="47"/>
        <v>0.92</v>
      </c>
      <c r="C370" s="95">
        <f t="shared" si="48"/>
        <v>0.93</v>
      </c>
      <c r="D370" s="95">
        <f t="shared" si="45"/>
        <v>1.0000000000000009E-2</v>
      </c>
      <c r="E370" s="69">
        <f t="shared" si="46"/>
        <v>700</v>
      </c>
      <c r="F370" s="204">
        <f t="shared" si="49"/>
        <v>18.538778322792609</v>
      </c>
      <c r="G370" s="203">
        <f t="shared" si="50"/>
        <v>0.92185387783227934</v>
      </c>
      <c r="H370" s="69">
        <f t="shared" si="51"/>
        <v>779.44975402438172</v>
      </c>
      <c r="I370" s="35" t="str">
        <f t="shared" si="52"/>
        <v>C</v>
      </c>
      <c r="J370" s="95">
        <f t="shared" si="53"/>
        <v>83</v>
      </c>
      <c r="K370" s="353"/>
      <c r="L370" s="47"/>
    </row>
    <row r="371" spans="1:12" x14ac:dyDescent="0.25">
      <c r="A371" s="69">
        <f t="shared" si="44"/>
        <v>740.09494167247647</v>
      </c>
      <c r="B371" s="95">
        <f t="shared" si="47"/>
        <v>0.92</v>
      </c>
      <c r="C371" s="95">
        <f t="shared" si="48"/>
        <v>0.93</v>
      </c>
      <c r="D371" s="95">
        <f t="shared" si="45"/>
        <v>1.0000000000000009E-2</v>
      </c>
      <c r="E371" s="69">
        <f t="shared" si="46"/>
        <v>700</v>
      </c>
      <c r="F371" s="204">
        <f t="shared" si="49"/>
        <v>40.094941672476466</v>
      </c>
      <c r="G371" s="203">
        <f t="shared" si="50"/>
        <v>0.92400949416724765</v>
      </c>
      <c r="H371" s="69">
        <f t="shared" si="51"/>
        <v>800.96032166799114</v>
      </c>
      <c r="I371" s="35" t="str">
        <f t="shared" si="52"/>
        <v>C</v>
      </c>
      <c r="J371" s="95">
        <f t="shared" si="53"/>
        <v>83</v>
      </c>
      <c r="K371" s="353"/>
      <c r="L371" s="47"/>
    </row>
    <row r="372" spans="1:12" x14ac:dyDescent="0.25">
      <c r="A372" s="69">
        <f t="shared" si="44"/>
        <v>762.29778992265074</v>
      </c>
      <c r="B372" s="95">
        <f t="shared" si="47"/>
        <v>0.92</v>
      </c>
      <c r="C372" s="95">
        <f t="shared" si="48"/>
        <v>0.93</v>
      </c>
      <c r="D372" s="95">
        <f t="shared" si="45"/>
        <v>1.0000000000000009E-2</v>
      </c>
      <c r="E372" s="69">
        <f t="shared" si="46"/>
        <v>700</v>
      </c>
      <c r="F372" s="204">
        <f t="shared" si="49"/>
        <v>62.297789922650736</v>
      </c>
      <c r="G372" s="203">
        <f t="shared" si="50"/>
        <v>0.92622977899226511</v>
      </c>
      <c r="H372" s="69">
        <f t="shared" si="51"/>
        <v>823.01153257243379</v>
      </c>
      <c r="I372" s="35" t="str">
        <f t="shared" si="52"/>
        <v>C</v>
      </c>
      <c r="J372" s="95">
        <f t="shared" si="53"/>
        <v>83</v>
      </c>
      <c r="K372" s="353"/>
      <c r="L372" s="47"/>
    </row>
    <row r="373" spans="1:12" x14ac:dyDescent="0.25">
      <c r="A373" s="69">
        <f t="shared" si="44"/>
        <v>785.16672362033023</v>
      </c>
      <c r="B373" s="95">
        <f t="shared" si="47"/>
        <v>0.92</v>
      </c>
      <c r="C373" s="95">
        <f t="shared" si="48"/>
        <v>0.93</v>
      </c>
      <c r="D373" s="95">
        <f t="shared" si="45"/>
        <v>1.0000000000000009E-2</v>
      </c>
      <c r="E373" s="69">
        <f t="shared" si="46"/>
        <v>700</v>
      </c>
      <c r="F373" s="204">
        <f t="shared" si="49"/>
        <v>85.166723620330231</v>
      </c>
      <c r="G373" s="203">
        <f t="shared" si="50"/>
        <v>0.92851667236203306</v>
      </c>
      <c r="H373" s="69">
        <f t="shared" si="51"/>
        <v>845.61402825752384</v>
      </c>
      <c r="I373" s="35" t="str">
        <f t="shared" si="52"/>
        <v>C</v>
      </c>
      <c r="J373" s="95">
        <f t="shared" si="53"/>
        <v>83</v>
      </c>
      <c r="K373" s="353"/>
      <c r="L373" s="47"/>
    </row>
    <row r="374" spans="1:12" x14ac:dyDescent="0.25">
      <c r="A374" s="69">
        <f t="shared" si="44"/>
        <v>808.72172532894012</v>
      </c>
      <c r="B374" s="95">
        <f t="shared" si="47"/>
        <v>0.93</v>
      </c>
      <c r="C374" s="95">
        <f t="shared" si="48"/>
        <v>0.93</v>
      </c>
      <c r="D374" s="95">
        <f t="shared" si="45"/>
        <v>0</v>
      </c>
      <c r="E374" s="69">
        <f t="shared" si="46"/>
        <v>800</v>
      </c>
      <c r="F374" s="204">
        <f t="shared" si="49"/>
        <v>8.7217253289401242</v>
      </c>
      <c r="G374" s="203">
        <f t="shared" si="50"/>
        <v>0.93</v>
      </c>
      <c r="H374" s="69">
        <f t="shared" si="51"/>
        <v>869.59325304187109</v>
      </c>
      <c r="I374" s="35" t="str">
        <f t="shared" si="52"/>
        <v>C</v>
      </c>
      <c r="J374" s="95">
        <f t="shared" si="53"/>
        <v>83</v>
      </c>
      <c r="K374" s="353"/>
      <c r="L374" s="47"/>
    </row>
    <row r="375" spans="1:12" x14ac:dyDescent="0.25">
      <c r="A375" s="69">
        <f t="shared" si="44"/>
        <v>832.9833770888082</v>
      </c>
      <c r="B375" s="95">
        <f t="shared" si="47"/>
        <v>0.93</v>
      </c>
      <c r="C375" s="95">
        <f t="shared" si="48"/>
        <v>0.93</v>
      </c>
      <c r="D375" s="95">
        <f t="shared" si="45"/>
        <v>0</v>
      </c>
      <c r="E375" s="69">
        <f t="shared" si="46"/>
        <v>800</v>
      </c>
      <c r="F375" s="204">
        <f t="shared" si="49"/>
        <v>32.983377088808197</v>
      </c>
      <c r="G375" s="203">
        <f t="shared" si="50"/>
        <v>0.93</v>
      </c>
      <c r="H375" s="69">
        <f t="shared" si="51"/>
        <v>895.68105063312703</v>
      </c>
      <c r="I375" s="35" t="str">
        <f t="shared" si="52"/>
        <v>D</v>
      </c>
      <c r="J375" s="95">
        <f t="shared" si="53"/>
        <v>80</v>
      </c>
      <c r="K375" s="353"/>
      <c r="L375" s="47"/>
    </row>
    <row r="376" spans="1:12" x14ac:dyDescent="0.25">
      <c r="A376" s="69">
        <f t="shared" si="44"/>
        <v>857.97287840147271</v>
      </c>
      <c r="B376" s="95">
        <f t="shared" si="47"/>
        <v>0.93</v>
      </c>
      <c r="C376" s="95">
        <f t="shared" si="48"/>
        <v>0.93</v>
      </c>
      <c r="D376" s="95">
        <f t="shared" si="45"/>
        <v>0</v>
      </c>
      <c r="E376" s="69">
        <f t="shared" si="46"/>
        <v>800</v>
      </c>
      <c r="F376" s="204">
        <f t="shared" si="49"/>
        <v>57.972878401472713</v>
      </c>
      <c r="G376" s="203">
        <f t="shared" si="50"/>
        <v>0.93</v>
      </c>
      <c r="H376" s="69">
        <f t="shared" si="51"/>
        <v>922.55148215212114</v>
      </c>
      <c r="I376" s="35" t="str">
        <f t="shared" si="52"/>
        <v>D</v>
      </c>
      <c r="J376" s="95">
        <f t="shared" si="53"/>
        <v>80</v>
      </c>
      <c r="K376" s="353"/>
      <c r="L376" s="47"/>
    </row>
    <row r="377" spans="1:12" x14ac:dyDescent="0.25">
      <c r="A377" s="69">
        <f t="shared" si="44"/>
        <v>883.71206475351664</v>
      </c>
      <c r="B377" s="95">
        <f t="shared" si="47"/>
        <v>0.93</v>
      </c>
      <c r="C377" s="95">
        <f t="shared" si="48"/>
        <v>0.93</v>
      </c>
      <c r="D377" s="95">
        <f t="shared" si="45"/>
        <v>0</v>
      </c>
      <c r="E377" s="69">
        <f t="shared" si="46"/>
        <v>800</v>
      </c>
      <c r="F377" s="204">
        <f t="shared" si="49"/>
        <v>83.712064753516643</v>
      </c>
      <c r="G377" s="203">
        <f t="shared" si="50"/>
        <v>0.93</v>
      </c>
      <c r="H377" s="69">
        <f t="shared" si="51"/>
        <v>950.22802661668447</v>
      </c>
      <c r="I377" s="35" t="str">
        <f t="shared" si="52"/>
        <v>D</v>
      </c>
      <c r="J377" s="95">
        <f t="shared" si="53"/>
        <v>80</v>
      </c>
      <c r="K377" s="353"/>
      <c r="L377" s="47"/>
    </row>
    <row r="378" spans="1:12" x14ac:dyDescent="0.25">
      <c r="A378" s="69">
        <f t="shared" si="44"/>
        <v>910.22342669612226</v>
      </c>
      <c r="B378" s="95">
        <f t="shared" si="47"/>
        <v>0.93</v>
      </c>
      <c r="C378" s="95">
        <f t="shared" si="48"/>
        <v>0.93</v>
      </c>
      <c r="D378" s="95">
        <f t="shared" si="45"/>
        <v>0</v>
      </c>
      <c r="E378" s="69">
        <f>IF(AND(A378&gt;=100,A378&lt;200),100,IF(AND(A378&gt;=200,A378&lt;300),200,IF(AND(A378&gt;=300,A378&lt;400),300,IF(AND(A378&gt;=400,A378&lt;500),400,IF(AND(A378&gt;=500,A378&lt;600),500,IF(AND(A378&gt;=600,A378&lt;700),600,IF(AND(A378&gt;=700,A378&lt;800),700,IF(AND(A378&gt;=800,A378&lt;900),800,IF(AND(A378&gt;=900,A378&lt;1000),900,IF(AND(A378&gt;=1000,A378&lt;1100),1000,IF(AND(A378&gt;=1100,A378&lt;1200),1100,IF(AND(A378&gt;=1200,A378&lt;1300),1200,IF(AND(A378&gt;=1300,A378&lt;1400),1300,IF(AND(A378&gt;=1400,A378&lt;1500),1400,IF(AND(A378&gt;=1500,A378&lt;1600),1500,IF(AND(A378&gt;=1600,A378&lt;1700),1600,IF(AND(A378&gt;=1700,A378&lt;1800),1700,IF(AND(A378&gt;=1800,A378&lt;1900),1800,IF(A378&gt;=1900,1900)))))))))))))))))))</f>
        <v>900</v>
      </c>
      <c r="F378" s="204">
        <f t="shared" si="49"/>
        <v>10.22342669612226</v>
      </c>
      <c r="G378" s="203">
        <f>B378+(D378*F378)/100</f>
        <v>0.93</v>
      </c>
      <c r="H378" s="69">
        <f>A378/G378</f>
        <v>978.73486741518514</v>
      </c>
      <c r="I378" s="35" t="str">
        <f t="shared" si="52"/>
        <v>D</v>
      </c>
      <c r="J378" s="95">
        <f t="shared" si="53"/>
        <v>80</v>
      </c>
      <c r="K378" s="353"/>
      <c r="L378" s="47"/>
    </row>
    <row r="379" spans="1:12" x14ac:dyDescent="0.25">
      <c r="A379" s="69">
        <f>J71/12</f>
        <v>937.53012949700599</v>
      </c>
      <c r="B379" s="95">
        <f>IF(A379&lt;=100,0.83,IF(AND(A379&gt;100,A379&lt;=200),0.87,IF(AND(A379&gt;200,A379&lt;=400),0.9,IF(AND(A379&gt;400,A379&lt;=500),0.91,IF(AND(A379&gt;500,A379&lt;=600),0.91,IF(AND(A379&gt;600,A379&lt;=700),0.92,IF(AND(A379&gt;700,A379&lt;=800),0.92,IF(AND(A379&gt;800,A379&lt;=900),0.93,IF(AND(A379&gt;900,A379&lt;=1000),0.93,IF(AND(A379&gt;1000,A379&lt;=1100),0.93,IF(AND(A379&gt;1100,A379&lt;=1200),0.94,IF(AND(A379&gt;1200,A379&lt;=1300),0.94,IF(AND(A379&gt;1300,A379&lt;=1400),0.94,IF(AND(A379&gt;1400,A379&lt;=1500),0.94,IF(AND(A379&gt;1500,A379&lt;=1600),0.95,IF(AND(A379&gt;1600,A379&lt;=1700),0.95,IF(AND(A379&gt;1700,A379&lt;=1800),0.95,IF(AND(A379&gt;1800,A379&lt;=1900),0.95,IF(A379&gt;1900,0.96)))))))))))))))))))</f>
        <v>0.93</v>
      </c>
      <c r="C379" s="95">
        <f>IF(A379&lt;=100,0.87,IF(AND(A379&gt;100,A379&lt;=200),0.9,IF(AND(A379&gt;200,A379&lt;=400),0.91,IF(AND(A379&gt;400,A379&lt;=500),0.91,IF(AND(A379&gt;500,A379&lt;=600),0.92,IF(AND(A379&gt;600,A379&lt;=700),0.92,IF(AND(A379&gt;700,A379&lt;=800),0.93,IF(AND(A379&gt;800,A379&lt;=900),0.93,IF(AND(A379&gt;900,A379&lt;=1000),0.93,IF(AND(A379&gt;1000,A379&lt;=1100),0.94,IF(AND(A379&gt;1100,A379&lt;=1200),0.94,IF(AND(A379&gt;1200,A379&lt;=1300),0.94,IF(AND(A379&gt;1300,A379&lt;=1400),0.94,IF(AND(A379&gt;1400,A379&lt;=1500),0.95,IF(AND(A379&gt;1500,A379&lt;=1600),0.95,IF(AND(A379&gt;1600,A379&lt;=1700),0.95,IF(AND(A379&gt;1700,A379&lt;=1800),0.95,IF(AND(A379&gt;1800,A379&lt;=1900),0.96,IF(A379&gt;1900,1)))))))))))))))))))</f>
        <v>0.93</v>
      </c>
      <c r="D379" s="95">
        <f>C379-B379</f>
        <v>0</v>
      </c>
      <c r="E379" s="69">
        <f>IF(AND(A379&gt;=100,A379&lt;200),100,IF(AND(A379&gt;=200,A379&lt;300),200,IF(AND(A379&gt;=300,A379&lt;400),300,IF(AND(A379&gt;=400,A379&lt;500),400,IF(AND(A379&gt;=500,A379&lt;600),500,IF(AND(A379&gt;=600,A379&lt;700),600,IF(AND(A379&gt;=700,A379&lt;800),700,IF(AND(A379&gt;=800,A379&lt;900),800,IF(AND(A379&gt;=900,A379&lt;1000),900,IF(AND(A379&gt;=1000,A379&lt;1100),1000,IF(AND(A379&gt;=1100,A379&lt;1200),1100,IF(AND(A379&gt;=1200,A379&lt;1300),1200,IF(AND(A379&gt;=1300,A379&lt;1400),1300,IF(AND(A379&gt;=1400,A379&lt;1500),1400,IF(AND(A379&gt;=1500,A379&lt;1600),1500,IF(AND(A379&gt;=1600,A379&lt;1700),1600,IF(AND(A379&gt;=1700,A379&lt;1800),1700,IF(AND(A379&gt;=1800,A379&lt;1900),1800,IF(A379&gt;=1900,1900)))))))))))))))))))</f>
        <v>900</v>
      </c>
      <c r="F379" s="204">
        <f>A379-E379</f>
        <v>37.530129497005987</v>
      </c>
      <c r="G379" s="203">
        <f>B379+(D379*F379)/100</f>
        <v>0.93</v>
      </c>
      <c r="H379" s="69">
        <f>A379/G379</f>
        <v>1008.0969134376408</v>
      </c>
      <c r="I379" s="35" t="str">
        <f>IF(H379&lt;=$K$151,"A",IF(AND(H379&gt;$K$151,H379&lt;=$K$152),"B",IF(AND(H379&gt;$K$152,H379&lt;=$K$153),"C",IF(AND(H379&gt;$K$153,H379&lt;=$K$154),"D",IF(AND(H379&gt;$K$154,H379&lt;=$K$155),"E",IF(H379&gt;$K$155,"F"))))))</f>
        <v>D</v>
      </c>
      <c r="J379" s="95">
        <f>IF(I379="A",$D$210,IF(I379="B",$D$211,IF(I379="C",$D$212,IF(I379="D",$D$213,IF(I379="E",$D$214,IF(I379="F",$D$202))))))</f>
        <v>80</v>
      </c>
      <c r="K379" s="129"/>
    </row>
    <row r="380" spans="1:12" x14ac:dyDescent="0.25">
      <c r="A380" s="69">
        <f>J72/12</f>
        <v>965.65603338191602</v>
      </c>
      <c r="B380" s="95">
        <f>IF(A380&lt;=100,0.83,IF(AND(A380&gt;100,A380&lt;=200),0.87,IF(AND(A380&gt;200,A380&lt;=400),0.9,IF(AND(A380&gt;400,A380&lt;=500),0.91,IF(AND(A380&gt;500,A380&lt;=600),0.91,IF(AND(A380&gt;600,A380&lt;=700),0.92,IF(AND(A380&gt;700,A380&lt;=800),0.92,IF(AND(A380&gt;800,A380&lt;=900),0.93,IF(AND(A380&gt;900,A380&lt;=1000),0.93,IF(AND(A380&gt;1000,A380&lt;=1100),0.93,IF(AND(A380&gt;1100,A380&lt;=1200),0.94,IF(AND(A380&gt;1200,A380&lt;=1300),0.94,IF(AND(A380&gt;1300,A380&lt;=1400),0.94,IF(AND(A380&gt;1400,A380&lt;=1500),0.94,IF(AND(A380&gt;1500,A380&lt;=1600),0.95,IF(AND(A380&gt;1600,A380&lt;=1700),0.95,IF(AND(A380&gt;1700,A380&lt;=1800),0.95,IF(AND(A380&gt;1800,A380&lt;=1900),0.95,IF(A380&gt;1900,0.96)))))))))))))))))))</f>
        <v>0.93</v>
      </c>
      <c r="C380" s="95">
        <f>IF(A380&lt;=100,0.87,IF(AND(A380&gt;100,A380&lt;=200),0.9,IF(AND(A380&gt;200,A380&lt;=400),0.91,IF(AND(A380&gt;400,A380&lt;=500),0.91,IF(AND(A380&gt;500,A380&lt;=600),0.92,IF(AND(A380&gt;600,A380&lt;=700),0.92,IF(AND(A380&gt;700,A380&lt;=800),0.93,IF(AND(A380&gt;800,A380&lt;=900),0.93,IF(AND(A380&gt;900,A380&lt;=1000),0.93,IF(AND(A380&gt;1000,A380&lt;=1100),0.94,IF(AND(A380&gt;1100,A380&lt;=1200),0.94,IF(AND(A380&gt;1200,A380&lt;=1300),0.94,IF(AND(A380&gt;1300,A380&lt;=1400),0.94,IF(AND(A380&gt;1400,A380&lt;=1500),0.95,IF(AND(A380&gt;1500,A380&lt;=1600),0.95,IF(AND(A380&gt;1600,A380&lt;=1700),0.95,IF(AND(A380&gt;1700,A380&lt;=1800),0.95,IF(AND(A380&gt;1800,A380&lt;=1900),0.96,IF(A380&gt;1900,1)))))))))))))))))))</f>
        <v>0.93</v>
      </c>
      <c r="D380" s="95">
        <f>C380-B380</f>
        <v>0</v>
      </c>
      <c r="E380" s="69">
        <f>IF(AND(A380&gt;=100,A380&lt;200),100,IF(AND(A380&gt;=200,A380&lt;300),200,IF(AND(A380&gt;=300,A380&lt;400),300,IF(AND(A380&gt;=400,A380&lt;500),400,IF(AND(A380&gt;=500,A380&lt;600),500,IF(AND(A380&gt;=600,A380&lt;700),600,IF(AND(A380&gt;=700,A380&lt;800),700,IF(AND(A380&gt;=800,A380&lt;900),800,IF(AND(A380&gt;=900,A380&lt;1000),900,IF(AND(A380&gt;=1000,A380&lt;1100),1000,IF(AND(A380&gt;=1100,A380&lt;1200),1100,IF(AND(A380&gt;=1200,A380&lt;1300),1200,IF(AND(A380&gt;=1300,A380&lt;1400),1300,IF(AND(A380&gt;=1400,A380&lt;1500),1400,IF(AND(A380&gt;=1500,A380&lt;1600),1500,IF(AND(A380&gt;=1600,A380&lt;1700),1600,IF(AND(A380&gt;=1700,A380&lt;1800),1700,IF(AND(A380&gt;=1800,A380&lt;1900),1800,IF(A380&gt;=1900,1900)))))))))))))))))))</f>
        <v>900</v>
      </c>
      <c r="F380" s="204">
        <f>A380-E380</f>
        <v>65.656033381916018</v>
      </c>
      <c r="G380" s="203">
        <f>B380+(D380*F380)/100</f>
        <v>0.93</v>
      </c>
      <c r="H380" s="69">
        <f>A380/G380</f>
        <v>1038.3398208407698</v>
      </c>
      <c r="I380" s="35" t="str">
        <f>IF(H380&lt;=$K$151,"A",IF(AND(H380&gt;$K$151,H380&lt;=$K$152),"B",IF(AND(H380&gt;$K$152,H380&lt;=$K$153),"C",IF(AND(H380&gt;$K$153,H380&lt;=$K$154),"D",IF(AND(H380&gt;$K$154,H380&lt;=$K$155),"E",IF(H380&gt;$K$155,"F"))))))</f>
        <v>D</v>
      </c>
      <c r="J380" s="95">
        <f>IF(I380="A",$D$210,IF(I380="B",$D$211,IF(I380="C",$D$212,IF(I380="D",$D$213,IF(I380="E",$D$214,IF(I380="F",$D$202))))))</f>
        <v>80</v>
      </c>
      <c r="K380" s="129"/>
    </row>
    <row r="381" spans="1:12" x14ac:dyDescent="0.25">
      <c r="C381" s="129"/>
      <c r="K381" s="129"/>
    </row>
    <row r="382" spans="1:12" x14ac:dyDescent="0.25">
      <c r="A382" s="105" t="s">
        <v>444</v>
      </c>
      <c r="B382" s="105" t="s">
        <v>143</v>
      </c>
      <c r="C382" s="105" t="s">
        <v>480</v>
      </c>
      <c r="D382" s="105" t="s">
        <v>481</v>
      </c>
      <c r="E382" s="487" t="s">
        <v>482</v>
      </c>
      <c r="F382" s="105" t="s">
        <v>483</v>
      </c>
      <c r="G382" s="105" t="s">
        <v>143</v>
      </c>
      <c r="H382" s="169" t="s">
        <v>380</v>
      </c>
      <c r="I382" s="125" t="s">
        <v>19</v>
      </c>
      <c r="J382" s="125" t="s">
        <v>20</v>
      </c>
      <c r="K382" s="253"/>
      <c r="L382" s="253"/>
    </row>
    <row r="383" spans="1:12" x14ac:dyDescent="0.25">
      <c r="A383" s="479">
        <f>J77/12</f>
        <v>750</v>
      </c>
      <c r="B383" s="35">
        <f>IF(A383&lt;=100,0.83,IF(AND(A383&gt;100,A383&lt;=200),0.87,IF(AND(A383&gt;200,A383&lt;=400),0.9,IF(AND(A383&gt;400,A383&lt;=500),0.91,IF(AND(A383&gt;500,A383&lt;=600),0.91,IF(AND(A383&gt;600,A383&lt;=700),0.92,IF(AND(A383&gt;700,A383&lt;=800),0.92,IF(AND(A383&gt;800,A383&lt;=900),0.93,IF(AND(A383&gt;900,A383&lt;=1000),0.93,IF(AND(A383&gt;1000,A383&lt;=1100),0.93,IF(AND(A383&gt;1100,A383&lt;=1200),0.94,IF(AND(A383&gt;1200,A383&lt;=1300),0.94,IF(AND(A383&gt;1300,A383&lt;=1400),0.94,IF(AND(A383&gt;1400,A383&lt;=1500),0.94,IF(AND(A383&gt;1500,A383&lt;=1600),0.95,IF(AND(A383&gt;1600,A383&lt;=1700),0.95,IF(AND(A383&gt;1700,A383&lt;=1800),0.95,IF(AND(A383&gt;1800,A383&lt;=1900),0.95,IF(A383&gt;1900,0.96)))))))))))))))))))</f>
        <v>0.92</v>
      </c>
      <c r="C383" s="35">
        <f>IF(A383&lt;=100,0.87,IF(AND(A383&gt;100,A383&lt;=200),0.9,IF(AND(A383&gt;200,A383&lt;=400),0.91,IF(AND(A383&gt;400,A383&lt;=500),0.91,IF(AND(A383&gt;500,A383&lt;=600),0.92,IF(AND(A383&gt;600,A383&lt;=700),0.92,IF(AND(A383&gt;700,A383&lt;=800),0.93,IF(AND(A383&gt;800,A383&lt;=900),0.93,IF(AND(A383&gt;900,A383&lt;=1000),0.93,IF(AND(A383&gt;1000,A383&lt;=1100),0.94,IF(AND(A383&gt;1100,A383&lt;=1200),0.94,IF(AND(A383&gt;1200,A383&lt;=1300),0.94,IF(AND(A383&gt;1300,A383&lt;=1400),0.94,IF(AND(A383&gt;1400,A383&lt;=1500),0.95,IF(AND(A383&gt;1500,A383&lt;=1600),0.95,IF(AND(A383&gt;1600,A383&lt;=1700),0.95,IF(AND(A383&gt;1700,A383&lt;=1800),0.95,IF(AND(A383&gt;1800,A383&lt;=1900),0.96,IF(A383&gt;1900,1)))))))))))))))))))</f>
        <v>0.93</v>
      </c>
      <c r="D383" s="35">
        <f>C383-B383</f>
        <v>1.0000000000000009E-2</v>
      </c>
      <c r="E383" s="69">
        <f>IF(AND(A383&gt;=100,A383&lt;200),100,IF(AND(A383&gt;=200,A383&lt;300),200,IF(AND(A383&gt;=300,A383&lt;400),300,IF(AND(A383&gt;=400,A383&lt;500),400,IF(AND(A383&gt;=500,A383&lt;600),500,IF(AND(A383&gt;=600,A383&lt;700),600,IF(AND(A383&gt;=700,A383&lt;800),700,IF(AND(A383&gt;=800,A383&lt;900),800,IF(AND(A383&gt;=900,A383&lt;1000),900,IF(AND(A383&gt;=1000,A383&lt;1100),1000,IF(AND(A383&gt;=1100,A383&lt;1200),1100,IF(AND(A383&gt;=1200,A383&lt;1300),1200,IF(AND(A383&gt;=1300,A383&lt;1400),1300,IF(AND(A383&gt;=1400,A383&lt;1500),1400,IF(AND(A383&gt;=1500,A383&lt;1600),1500,IF(AND(A383&gt;=1600,A383&lt;1700),1600,IF(AND(A383&gt;=1700,A383&lt;1800),1700,IF(AND(A383&gt;=1800,A383&lt;1900),1800,IF(A383&gt;=1900,1900)))))))))))))))))))</f>
        <v>700</v>
      </c>
      <c r="F383" s="204">
        <f t="shared" ref="F383:F413" si="54">A383-E383</f>
        <v>50</v>
      </c>
      <c r="G383" s="203">
        <f>B383+(D383*F383)/100</f>
        <v>0.92500000000000004</v>
      </c>
      <c r="H383" s="69">
        <f>A383/G383</f>
        <v>810.81081081081072</v>
      </c>
      <c r="I383" s="35" t="str">
        <f>IF(H383&lt;=$K$159,"A",IF(AND(H383&gt;$K$159,H383&lt;=$K$160),"B",IF(AND(H383&gt;$K$160,H383&lt;=$K$161),"C",IF(AND(H383&gt;$K$161,H383&lt;=$K$162),"D",IF(AND(H383&gt;$K$162,H383&lt;=$K$163),"E",IF(H383&gt;$K$163,"F"))))))</f>
        <v>D</v>
      </c>
      <c r="J383" s="35">
        <f>IF(I383="A",$D$222,IF(I383="B",$D$223,IF(I383="C",$D$224,IF(I383="D",$D$225,IF(I383="E",$D$226,IF(I383="F",$D$202))))))</f>
        <v>80</v>
      </c>
      <c r="K383" s="152"/>
      <c r="L383" s="108"/>
    </row>
    <row r="384" spans="1:12" x14ac:dyDescent="0.25">
      <c r="A384" s="479">
        <f t="shared" ref="A384:A413" si="55">J78/12</f>
        <v>772.5</v>
      </c>
      <c r="B384" s="35">
        <f t="shared" ref="B384:B413" si="56">IF(A384&lt;=100,0.83,IF(AND(A384&gt;100,A384&lt;=200),0.87,IF(AND(A384&gt;200,A384&lt;=400),0.9,IF(AND(A384&gt;400,A384&lt;=500),0.91,IF(AND(A384&gt;500,A384&lt;=600),0.91,IF(AND(A384&gt;600,A384&lt;=700),0.92,IF(AND(A384&gt;700,A384&lt;=800),0.92,IF(AND(A384&gt;800,A384&lt;=900),0.93,IF(AND(A384&gt;900,A384&lt;=1000),0.93,IF(AND(A384&gt;1000,A384&lt;=1100),0.93,IF(AND(A384&gt;1100,A384&lt;=1200),0.94,IF(AND(A384&gt;1200,A384&lt;=1300),0.94,IF(AND(A384&gt;1300,A384&lt;=1400),0.94,IF(AND(A384&gt;1400,A384&lt;=1500),0.94,IF(AND(A384&gt;1500,A384&lt;=1600),0.95,IF(AND(A384&gt;1600,A384&lt;=1700),0.95,IF(AND(A384&gt;1700,A384&lt;=1800),0.95,IF(AND(A384&gt;1800,A384&lt;=1900),0.95,IF(A384&gt;1900,0.96)))))))))))))))))))</f>
        <v>0.92</v>
      </c>
      <c r="C384" s="35">
        <f t="shared" ref="C384:C413" si="57">IF(A384&lt;=100,0.87,IF(AND(A384&gt;100,A384&lt;=200),0.9,IF(AND(A384&gt;200,A384&lt;=400),0.91,IF(AND(A384&gt;400,A384&lt;=500),0.91,IF(AND(A384&gt;500,A384&lt;=600),0.92,IF(AND(A384&gt;600,A384&lt;=700),0.92,IF(AND(A384&gt;700,A384&lt;=800),0.93,IF(AND(A384&gt;800,A384&lt;=900),0.93,IF(AND(A384&gt;900,A384&lt;=1000),0.93,IF(AND(A384&gt;1000,A384&lt;=1100),0.94,IF(AND(A384&gt;1100,A384&lt;=1200),0.94,IF(AND(A384&gt;1200,A384&lt;=1300),0.94,IF(AND(A384&gt;1300,A384&lt;=1400),0.94,IF(AND(A384&gt;1400,A384&lt;=1500),0.95,IF(AND(A384&gt;1500,A384&lt;=1600),0.95,IF(AND(A384&gt;1600,A384&lt;=1700),0.95,IF(AND(A384&gt;1700,A384&lt;=1800),0.95,IF(AND(A384&gt;1800,A384&lt;=1900),0.96,IF(A384&gt;1900,1)))))))))))))))))))</f>
        <v>0.93</v>
      </c>
      <c r="D384" s="35">
        <f t="shared" ref="D384:D413" si="58">C384-B384</f>
        <v>1.0000000000000009E-2</v>
      </c>
      <c r="E384" s="69">
        <f t="shared" ref="E384:E413" si="59">IF(AND(A384&gt;=100,A384&lt;200),100,IF(AND(A384&gt;=200,A384&lt;300),200,IF(AND(A384&gt;=300,A384&lt;400),300,IF(AND(A384&gt;=400,A384&lt;500),400,IF(AND(A384&gt;=500,A384&lt;600),500,IF(AND(A384&gt;=600,A384&lt;700),600,IF(AND(A384&gt;=700,A384&lt;800),700,IF(AND(A384&gt;=800,A384&lt;900),800,IF(AND(A384&gt;=900,A384&lt;1000),900,IF(AND(A384&gt;=1000,A384&lt;1100),1000,IF(AND(A384&gt;=1100,A384&lt;1200),1100,IF(AND(A384&gt;=1200,A384&lt;1300),1200,IF(AND(A384&gt;=1300,A384&lt;1400),1300,IF(AND(A384&gt;=1400,A384&lt;1500),1400,IF(AND(A384&gt;=1500,A384&lt;1600),1500,IF(AND(A384&gt;=1600,A384&lt;1700),1600,IF(AND(A384&gt;=1700,A384&lt;1800),1700,IF(AND(A384&gt;=1800,A384&lt;1900),1800,IF(A384&gt;=1900,1900)))))))))))))))))))</f>
        <v>700</v>
      </c>
      <c r="F384" s="204">
        <f t="shared" si="54"/>
        <v>72.5</v>
      </c>
      <c r="G384" s="203">
        <f t="shared" ref="G384:G413" si="60">B384+(D384*F384)/100</f>
        <v>0.92725000000000002</v>
      </c>
      <c r="H384" s="69">
        <f t="shared" ref="H384:H413" si="61">A384/G384</f>
        <v>833.10865462388779</v>
      </c>
      <c r="I384" s="35" t="str">
        <f t="shared" ref="I384:I413" si="62">IF(H384&lt;=$K$159,"A",IF(AND(H384&gt;$K$159,H384&lt;=$K$160),"B",IF(AND(H384&gt;$K$160,H384&lt;=$K$161),"C",IF(AND(H384&gt;$K$161,H384&lt;=$K$162),"D",IF(AND(H384&gt;$K$162,H384&lt;=$K$163),"E",IF(H384&gt;$K$163,"F"))))))</f>
        <v>D</v>
      </c>
      <c r="J384" s="35">
        <f t="shared" ref="J384:J413" si="63">IF(I384="A",$D$222,IF(I384="B",$D$223,IF(I384="C",$D$224,IF(I384="D",$D$225,IF(I384="E",$D$226,IF(I384="F",$D$202))))))</f>
        <v>80</v>
      </c>
      <c r="K384" s="152"/>
      <c r="L384" s="108"/>
    </row>
    <row r="385" spans="1:12" x14ac:dyDescent="0.25">
      <c r="A385" s="479">
        <f t="shared" si="55"/>
        <v>795.67499999999973</v>
      </c>
      <c r="B385" s="35">
        <f t="shared" si="56"/>
        <v>0.92</v>
      </c>
      <c r="C385" s="35">
        <f t="shared" si="57"/>
        <v>0.93</v>
      </c>
      <c r="D385" s="35">
        <f t="shared" si="58"/>
        <v>1.0000000000000009E-2</v>
      </c>
      <c r="E385" s="69">
        <f t="shared" si="59"/>
        <v>700</v>
      </c>
      <c r="F385" s="204">
        <f t="shared" si="54"/>
        <v>95.674999999999727</v>
      </c>
      <c r="G385" s="203">
        <f t="shared" si="60"/>
        <v>0.92956749999999999</v>
      </c>
      <c r="H385" s="69">
        <f t="shared" si="61"/>
        <v>855.96258475043476</v>
      </c>
      <c r="I385" s="35" t="str">
        <f t="shared" si="62"/>
        <v>D</v>
      </c>
      <c r="J385" s="35">
        <f t="shared" si="63"/>
        <v>80</v>
      </c>
      <c r="K385" s="152"/>
      <c r="L385" s="108"/>
    </row>
    <row r="386" spans="1:12" x14ac:dyDescent="0.25">
      <c r="A386" s="479">
        <f t="shared" si="55"/>
        <v>819.54525000000001</v>
      </c>
      <c r="B386" s="35">
        <f t="shared" si="56"/>
        <v>0.93</v>
      </c>
      <c r="C386" s="35">
        <f t="shared" si="57"/>
        <v>0.93</v>
      </c>
      <c r="D386" s="35">
        <f t="shared" si="58"/>
        <v>0</v>
      </c>
      <c r="E386" s="69">
        <f t="shared" si="59"/>
        <v>800</v>
      </c>
      <c r="F386" s="204">
        <f t="shared" si="54"/>
        <v>19.54525000000001</v>
      </c>
      <c r="G386" s="203">
        <f t="shared" si="60"/>
        <v>0.93</v>
      </c>
      <c r="H386" s="69">
        <f t="shared" si="61"/>
        <v>881.23145161290324</v>
      </c>
      <c r="I386" s="35" t="str">
        <f t="shared" si="62"/>
        <v>D</v>
      </c>
      <c r="J386" s="35">
        <f t="shared" si="63"/>
        <v>80</v>
      </c>
      <c r="K386" s="152"/>
      <c r="L386" s="108"/>
    </row>
    <row r="387" spans="1:12" x14ac:dyDescent="0.25">
      <c r="A387" s="479">
        <f t="shared" si="55"/>
        <v>844.13160750000009</v>
      </c>
      <c r="B387" s="35">
        <f t="shared" si="56"/>
        <v>0.93</v>
      </c>
      <c r="C387" s="35">
        <f t="shared" si="57"/>
        <v>0.93</v>
      </c>
      <c r="D387" s="35">
        <f t="shared" si="58"/>
        <v>0</v>
      </c>
      <c r="E387" s="69">
        <f t="shared" si="59"/>
        <v>800</v>
      </c>
      <c r="F387" s="204">
        <f t="shared" si="54"/>
        <v>44.131607500000086</v>
      </c>
      <c r="G387" s="203">
        <f t="shared" si="60"/>
        <v>0.93</v>
      </c>
      <c r="H387" s="69">
        <f t="shared" si="61"/>
        <v>907.66839516129039</v>
      </c>
      <c r="I387" s="35" t="str">
        <f t="shared" si="62"/>
        <v>D</v>
      </c>
      <c r="J387" s="35">
        <f t="shared" si="63"/>
        <v>80</v>
      </c>
      <c r="K387" s="152"/>
      <c r="L387" s="108"/>
    </row>
    <row r="388" spans="1:12" x14ac:dyDescent="0.25">
      <c r="A388" s="479">
        <f t="shared" si="55"/>
        <v>869.45555572499995</v>
      </c>
      <c r="B388" s="35">
        <f t="shared" si="56"/>
        <v>0.93</v>
      </c>
      <c r="C388" s="35">
        <f t="shared" si="57"/>
        <v>0.93</v>
      </c>
      <c r="D388" s="35">
        <f t="shared" si="58"/>
        <v>0</v>
      </c>
      <c r="E388" s="69">
        <f t="shared" si="59"/>
        <v>800</v>
      </c>
      <c r="F388" s="204">
        <f t="shared" si="54"/>
        <v>69.455555724999954</v>
      </c>
      <c r="G388" s="203">
        <f t="shared" si="60"/>
        <v>0.93</v>
      </c>
      <c r="H388" s="69">
        <f t="shared" si="61"/>
        <v>934.8984470161289</v>
      </c>
      <c r="I388" s="35" t="str">
        <f t="shared" si="62"/>
        <v>D</v>
      </c>
      <c r="J388" s="35">
        <f t="shared" si="63"/>
        <v>80</v>
      </c>
      <c r="K388" s="152"/>
      <c r="L388" s="108"/>
    </row>
    <row r="389" spans="1:12" x14ac:dyDescent="0.25">
      <c r="A389" s="479">
        <f t="shared" si="55"/>
        <v>895.53922239674978</v>
      </c>
      <c r="B389" s="35">
        <f t="shared" si="56"/>
        <v>0.93</v>
      </c>
      <c r="C389" s="35">
        <f t="shared" si="57"/>
        <v>0.93</v>
      </c>
      <c r="D389" s="35">
        <f t="shared" si="58"/>
        <v>0</v>
      </c>
      <c r="E389" s="69">
        <f t="shared" si="59"/>
        <v>800</v>
      </c>
      <c r="F389" s="204">
        <f t="shared" si="54"/>
        <v>95.539222396749778</v>
      </c>
      <c r="G389" s="203">
        <f t="shared" si="60"/>
        <v>0.93</v>
      </c>
      <c r="H389" s="69">
        <f t="shared" si="61"/>
        <v>962.94540042661265</v>
      </c>
      <c r="I389" s="35" t="str">
        <f t="shared" si="62"/>
        <v>D</v>
      </c>
      <c r="J389" s="35">
        <f t="shared" si="63"/>
        <v>80</v>
      </c>
      <c r="K389" s="152"/>
      <c r="L389" s="108"/>
    </row>
    <row r="390" spans="1:12" x14ac:dyDescent="0.25">
      <c r="A390" s="479">
        <f t="shared" si="55"/>
        <v>922.40539906865251</v>
      </c>
      <c r="B390" s="35">
        <f t="shared" si="56"/>
        <v>0.93</v>
      </c>
      <c r="C390" s="35">
        <f t="shared" si="57"/>
        <v>0.93</v>
      </c>
      <c r="D390" s="35">
        <f t="shared" si="58"/>
        <v>0</v>
      </c>
      <c r="E390" s="69">
        <f t="shared" si="59"/>
        <v>900</v>
      </c>
      <c r="F390" s="204">
        <f t="shared" si="54"/>
        <v>22.405399068652514</v>
      </c>
      <c r="G390" s="203">
        <f t="shared" si="60"/>
        <v>0.93</v>
      </c>
      <c r="H390" s="69">
        <f t="shared" si="61"/>
        <v>991.8337624394112</v>
      </c>
      <c r="I390" s="35" t="str">
        <f t="shared" si="62"/>
        <v>D</v>
      </c>
      <c r="J390" s="35">
        <f t="shared" si="63"/>
        <v>80</v>
      </c>
      <c r="K390" s="152"/>
      <c r="L390" s="108"/>
    </row>
    <row r="391" spans="1:12" x14ac:dyDescent="0.25">
      <c r="A391" s="479">
        <f t="shared" si="55"/>
        <v>950.07756104071211</v>
      </c>
      <c r="B391" s="35">
        <f t="shared" si="56"/>
        <v>0.93</v>
      </c>
      <c r="C391" s="35">
        <f t="shared" si="57"/>
        <v>0.93</v>
      </c>
      <c r="D391" s="35">
        <f t="shared" si="58"/>
        <v>0</v>
      </c>
      <c r="E391" s="69">
        <f t="shared" si="59"/>
        <v>900</v>
      </c>
      <c r="F391" s="204">
        <f t="shared" si="54"/>
        <v>50.077561040712112</v>
      </c>
      <c r="G391" s="203">
        <f t="shared" si="60"/>
        <v>0.93</v>
      </c>
      <c r="H391" s="69">
        <f t="shared" si="61"/>
        <v>1021.5887753125936</v>
      </c>
      <c r="I391" s="35" t="str">
        <f t="shared" si="62"/>
        <v>D</v>
      </c>
      <c r="J391" s="35">
        <f t="shared" si="63"/>
        <v>80</v>
      </c>
      <c r="K391" s="152"/>
      <c r="L391" s="108"/>
    </row>
    <row r="392" spans="1:12" x14ac:dyDescent="0.25">
      <c r="A392" s="479">
        <f t="shared" si="55"/>
        <v>978.57988787193335</v>
      </c>
      <c r="B392" s="35">
        <f t="shared" si="56"/>
        <v>0.93</v>
      </c>
      <c r="C392" s="35">
        <f t="shared" si="57"/>
        <v>0.93</v>
      </c>
      <c r="D392" s="35">
        <f t="shared" si="58"/>
        <v>0</v>
      </c>
      <c r="E392" s="69">
        <f t="shared" si="59"/>
        <v>900</v>
      </c>
      <c r="F392" s="204">
        <f t="shared" si="54"/>
        <v>78.579887871933352</v>
      </c>
      <c r="G392" s="203">
        <f t="shared" si="60"/>
        <v>0.93</v>
      </c>
      <c r="H392" s="69">
        <f t="shared" si="61"/>
        <v>1052.2364385719713</v>
      </c>
      <c r="I392" s="35" t="str">
        <f t="shared" si="62"/>
        <v>D</v>
      </c>
      <c r="J392" s="35">
        <f t="shared" si="63"/>
        <v>80</v>
      </c>
      <c r="K392" s="152"/>
      <c r="L392" s="108"/>
    </row>
    <row r="393" spans="1:12" x14ac:dyDescent="0.25">
      <c r="A393" s="479">
        <f t="shared" si="55"/>
        <v>1007.9372845080915</v>
      </c>
      <c r="B393" s="35">
        <f t="shared" si="56"/>
        <v>0.93</v>
      </c>
      <c r="C393" s="35">
        <f t="shared" si="57"/>
        <v>0.94</v>
      </c>
      <c r="D393" s="35">
        <f t="shared" si="58"/>
        <v>9.9999999999998979E-3</v>
      </c>
      <c r="E393" s="69">
        <f t="shared" si="59"/>
        <v>1000</v>
      </c>
      <c r="F393" s="204">
        <f t="shared" si="54"/>
        <v>7.9372845080914658</v>
      </c>
      <c r="G393" s="203">
        <f t="shared" si="60"/>
        <v>0.93079372845080921</v>
      </c>
      <c r="H393" s="69">
        <f t="shared" si="61"/>
        <v>1082.8793251386408</v>
      </c>
      <c r="I393" s="35" t="str">
        <f t="shared" si="62"/>
        <v>D</v>
      </c>
      <c r="J393" s="35">
        <f t="shared" si="63"/>
        <v>80</v>
      </c>
      <c r="K393" s="152"/>
      <c r="L393" s="108"/>
    </row>
    <row r="394" spans="1:12" x14ac:dyDescent="0.25">
      <c r="A394" s="479">
        <f t="shared" si="55"/>
        <v>1038.1754030433342</v>
      </c>
      <c r="B394" s="35">
        <f t="shared" si="56"/>
        <v>0.93</v>
      </c>
      <c r="C394" s="35">
        <f t="shared" si="57"/>
        <v>0.94</v>
      </c>
      <c r="D394" s="35">
        <f t="shared" si="58"/>
        <v>9.9999999999998979E-3</v>
      </c>
      <c r="E394" s="69">
        <f t="shared" si="59"/>
        <v>1000</v>
      </c>
      <c r="F394" s="204">
        <f t="shared" si="54"/>
        <v>38.1754030433342</v>
      </c>
      <c r="G394" s="203">
        <f t="shared" si="60"/>
        <v>0.93381754030433339</v>
      </c>
      <c r="H394" s="69">
        <f t="shared" si="61"/>
        <v>1111.7540185687562</v>
      </c>
      <c r="I394" s="35" t="str">
        <f t="shared" si="62"/>
        <v>D</v>
      </c>
      <c r="J394" s="35">
        <f t="shared" si="63"/>
        <v>80</v>
      </c>
      <c r="K394" s="152"/>
      <c r="L394" s="108"/>
    </row>
    <row r="395" spans="1:12" x14ac:dyDescent="0.25">
      <c r="A395" s="479">
        <f t="shared" si="55"/>
        <v>1069.3206651346343</v>
      </c>
      <c r="B395" s="35">
        <f t="shared" si="56"/>
        <v>0.93</v>
      </c>
      <c r="C395" s="35">
        <f t="shared" si="57"/>
        <v>0.94</v>
      </c>
      <c r="D395" s="35">
        <f t="shared" si="58"/>
        <v>9.9999999999998979E-3</v>
      </c>
      <c r="E395" s="69">
        <f t="shared" si="59"/>
        <v>1000</v>
      </c>
      <c r="F395" s="204">
        <f t="shared" si="54"/>
        <v>69.320665134634282</v>
      </c>
      <c r="G395" s="203">
        <f t="shared" si="60"/>
        <v>0.93693206651346339</v>
      </c>
      <c r="H395" s="69">
        <f t="shared" si="61"/>
        <v>1141.3001041941268</v>
      </c>
      <c r="I395" s="35" t="str">
        <f t="shared" si="62"/>
        <v>E</v>
      </c>
      <c r="J395" s="35">
        <f t="shared" si="63"/>
        <v>72</v>
      </c>
      <c r="K395" s="152"/>
      <c r="L395" s="108"/>
    </row>
    <row r="396" spans="1:12" x14ac:dyDescent="0.25">
      <c r="A396" s="479">
        <f t="shared" si="55"/>
        <v>1101.4002850886729</v>
      </c>
      <c r="B396" s="35">
        <f t="shared" si="56"/>
        <v>0.94</v>
      </c>
      <c r="C396" s="35">
        <f t="shared" si="57"/>
        <v>0.94</v>
      </c>
      <c r="D396" s="35">
        <f t="shared" si="58"/>
        <v>0</v>
      </c>
      <c r="E396" s="69">
        <f t="shared" si="59"/>
        <v>1100</v>
      </c>
      <c r="F396" s="204">
        <f t="shared" si="54"/>
        <v>1.4002850886729448</v>
      </c>
      <c r="G396" s="203">
        <f t="shared" si="60"/>
        <v>0.94</v>
      </c>
      <c r="H396" s="69">
        <f t="shared" si="61"/>
        <v>1171.7024309453968</v>
      </c>
      <c r="I396" s="35" t="str">
        <f t="shared" si="62"/>
        <v>E</v>
      </c>
      <c r="J396" s="35">
        <f t="shared" si="63"/>
        <v>72</v>
      </c>
      <c r="K396" s="152"/>
      <c r="L396" s="108"/>
    </row>
    <row r="397" spans="1:12" x14ac:dyDescent="0.25">
      <c r="A397" s="479">
        <f t="shared" si="55"/>
        <v>1134.4422936413332</v>
      </c>
      <c r="B397" s="35">
        <f t="shared" si="56"/>
        <v>0.94</v>
      </c>
      <c r="C397" s="35">
        <f t="shared" si="57"/>
        <v>0.94</v>
      </c>
      <c r="D397" s="35">
        <f t="shared" si="58"/>
        <v>0</v>
      </c>
      <c r="E397" s="69">
        <f t="shared" si="59"/>
        <v>1100</v>
      </c>
      <c r="F397" s="204">
        <f t="shared" si="54"/>
        <v>34.442293641333208</v>
      </c>
      <c r="G397" s="203">
        <f t="shared" si="60"/>
        <v>0.94</v>
      </c>
      <c r="H397" s="69">
        <f t="shared" si="61"/>
        <v>1206.8535038737589</v>
      </c>
      <c r="I397" s="35" t="str">
        <f t="shared" si="62"/>
        <v>E</v>
      </c>
      <c r="J397" s="35">
        <f t="shared" si="63"/>
        <v>72</v>
      </c>
      <c r="K397" s="152"/>
      <c r="L397" s="108"/>
    </row>
    <row r="398" spans="1:12" x14ac:dyDescent="0.25">
      <c r="A398" s="479">
        <f t="shared" si="55"/>
        <v>1168.4755624505733</v>
      </c>
      <c r="B398" s="35">
        <f t="shared" si="56"/>
        <v>0.94</v>
      </c>
      <c r="C398" s="35">
        <f t="shared" si="57"/>
        <v>0.94</v>
      </c>
      <c r="D398" s="35">
        <f t="shared" si="58"/>
        <v>0</v>
      </c>
      <c r="E398" s="69">
        <f t="shared" si="59"/>
        <v>1100</v>
      </c>
      <c r="F398" s="204">
        <f t="shared" si="54"/>
        <v>68.475562450573307</v>
      </c>
      <c r="G398" s="203">
        <f t="shared" si="60"/>
        <v>0.94</v>
      </c>
      <c r="H398" s="69">
        <f t="shared" si="61"/>
        <v>1243.0591089899717</v>
      </c>
      <c r="I398" s="35" t="str">
        <f t="shared" si="62"/>
        <v>E</v>
      </c>
      <c r="J398" s="35">
        <f t="shared" si="63"/>
        <v>72</v>
      </c>
      <c r="K398" s="152"/>
      <c r="L398" s="108"/>
    </row>
    <row r="399" spans="1:12" x14ac:dyDescent="0.25">
      <c r="A399" s="479">
        <f t="shared" si="55"/>
        <v>1203.5298293240903</v>
      </c>
      <c r="B399" s="35">
        <f t="shared" si="56"/>
        <v>0.94</v>
      </c>
      <c r="C399" s="35">
        <f t="shared" si="57"/>
        <v>0.94</v>
      </c>
      <c r="D399" s="35">
        <f t="shared" si="58"/>
        <v>0</v>
      </c>
      <c r="E399" s="69">
        <f t="shared" si="59"/>
        <v>1200</v>
      </c>
      <c r="F399" s="204">
        <f t="shared" si="54"/>
        <v>3.5298293240903149</v>
      </c>
      <c r="G399" s="203">
        <f t="shared" si="60"/>
        <v>0.94</v>
      </c>
      <c r="H399" s="69">
        <f t="shared" si="61"/>
        <v>1280.3508822596707</v>
      </c>
      <c r="I399" s="35" t="str">
        <f t="shared" si="62"/>
        <v>E</v>
      </c>
      <c r="J399" s="35">
        <f t="shared" si="63"/>
        <v>72</v>
      </c>
      <c r="K399" s="152"/>
      <c r="L399" s="108"/>
    </row>
    <row r="400" spans="1:12" x14ac:dyDescent="0.25">
      <c r="A400" s="479">
        <f t="shared" si="55"/>
        <v>1239.6357242038132</v>
      </c>
      <c r="B400" s="35">
        <f t="shared" si="56"/>
        <v>0.94</v>
      </c>
      <c r="C400" s="35">
        <f t="shared" si="57"/>
        <v>0.94</v>
      </c>
      <c r="D400" s="35">
        <f t="shared" si="58"/>
        <v>0</v>
      </c>
      <c r="E400" s="69">
        <f t="shared" si="59"/>
        <v>1200</v>
      </c>
      <c r="F400" s="204">
        <f t="shared" si="54"/>
        <v>39.635724203813197</v>
      </c>
      <c r="G400" s="203">
        <f t="shared" si="60"/>
        <v>0.94</v>
      </c>
      <c r="H400" s="69">
        <f t="shared" si="61"/>
        <v>1318.761408727461</v>
      </c>
      <c r="I400" s="35" t="str">
        <f t="shared" si="62"/>
        <v>E</v>
      </c>
      <c r="J400" s="35">
        <f t="shared" si="63"/>
        <v>72</v>
      </c>
      <c r="K400" s="152"/>
      <c r="L400" s="108"/>
    </row>
    <row r="401" spans="1:12" x14ac:dyDescent="0.25">
      <c r="A401" s="479">
        <f t="shared" si="55"/>
        <v>1276.8247959299274</v>
      </c>
      <c r="B401" s="35">
        <f t="shared" si="56"/>
        <v>0.94</v>
      </c>
      <c r="C401" s="35">
        <f t="shared" si="57"/>
        <v>0.94</v>
      </c>
      <c r="D401" s="35">
        <f t="shared" si="58"/>
        <v>0</v>
      </c>
      <c r="E401" s="69">
        <f t="shared" si="59"/>
        <v>1200</v>
      </c>
      <c r="F401" s="204">
        <f t="shared" si="54"/>
        <v>76.824795929927404</v>
      </c>
      <c r="G401" s="203">
        <f t="shared" si="60"/>
        <v>0.94</v>
      </c>
      <c r="H401" s="69">
        <f t="shared" si="61"/>
        <v>1358.3242509892846</v>
      </c>
      <c r="I401" s="35" t="str">
        <f t="shared" si="62"/>
        <v>E</v>
      </c>
      <c r="J401" s="35">
        <f t="shared" si="63"/>
        <v>72</v>
      </c>
      <c r="K401" s="152"/>
      <c r="L401" s="108"/>
    </row>
    <row r="402" spans="1:12" x14ac:dyDescent="0.25">
      <c r="A402" s="479">
        <f t="shared" si="55"/>
        <v>1315.1295398078253</v>
      </c>
      <c r="B402" s="35">
        <f t="shared" si="56"/>
        <v>0.94</v>
      </c>
      <c r="C402" s="35">
        <f t="shared" si="57"/>
        <v>0.94</v>
      </c>
      <c r="D402" s="35">
        <f t="shared" si="58"/>
        <v>0</v>
      </c>
      <c r="E402" s="69">
        <f t="shared" si="59"/>
        <v>1300</v>
      </c>
      <c r="F402" s="204">
        <f t="shared" si="54"/>
        <v>15.129539807825267</v>
      </c>
      <c r="G402" s="203">
        <f t="shared" si="60"/>
        <v>0.94</v>
      </c>
      <c r="H402" s="69">
        <f t="shared" si="61"/>
        <v>1399.073978518963</v>
      </c>
      <c r="I402" s="35" t="str">
        <f t="shared" si="62"/>
        <v>E</v>
      </c>
      <c r="J402" s="35">
        <f t="shared" si="63"/>
        <v>72</v>
      </c>
      <c r="K402" s="152"/>
      <c r="L402" s="108"/>
    </row>
    <row r="403" spans="1:12" x14ac:dyDescent="0.25">
      <c r="A403" s="479">
        <f t="shared" si="55"/>
        <v>1354.5834260020602</v>
      </c>
      <c r="B403" s="35">
        <f t="shared" si="56"/>
        <v>0.94</v>
      </c>
      <c r="C403" s="35">
        <f t="shared" si="57"/>
        <v>0.94</v>
      </c>
      <c r="D403" s="35">
        <f t="shared" si="58"/>
        <v>0</v>
      </c>
      <c r="E403" s="69">
        <f t="shared" si="59"/>
        <v>1300</v>
      </c>
      <c r="F403" s="204">
        <f t="shared" si="54"/>
        <v>54.58342600206015</v>
      </c>
      <c r="G403" s="203">
        <f t="shared" si="60"/>
        <v>0.94</v>
      </c>
      <c r="H403" s="69">
        <f t="shared" si="61"/>
        <v>1441.0461978745323</v>
      </c>
      <c r="I403" s="35" t="str">
        <f t="shared" si="62"/>
        <v>E</v>
      </c>
      <c r="J403" s="35">
        <f t="shared" si="63"/>
        <v>72</v>
      </c>
      <c r="K403" s="152"/>
      <c r="L403" s="108"/>
    </row>
    <row r="404" spans="1:12" x14ac:dyDescent="0.25">
      <c r="A404" s="479">
        <f t="shared" si="55"/>
        <v>1395.2209287821215</v>
      </c>
      <c r="B404" s="35">
        <f t="shared" si="56"/>
        <v>0.94</v>
      </c>
      <c r="C404" s="35">
        <f t="shared" si="57"/>
        <v>0.94</v>
      </c>
      <c r="D404" s="35">
        <f t="shared" si="58"/>
        <v>0</v>
      </c>
      <c r="E404" s="69">
        <f t="shared" si="59"/>
        <v>1300</v>
      </c>
      <c r="F404" s="204">
        <f t="shared" si="54"/>
        <v>95.220928782121518</v>
      </c>
      <c r="G404" s="203">
        <f t="shared" si="60"/>
        <v>0.94</v>
      </c>
      <c r="H404" s="69">
        <f t="shared" si="61"/>
        <v>1484.2775838107677</v>
      </c>
      <c r="I404" s="35" t="str">
        <f t="shared" si="62"/>
        <v>E</v>
      </c>
      <c r="J404" s="35">
        <f t="shared" si="63"/>
        <v>72</v>
      </c>
      <c r="K404" s="152"/>
      <c r="L404" s="108"/>
    </row>
    <row r="405" spans="1:12" x14ac:dyDescent="0.25">
      <c r="A405" s="479">
        <f t="shared" si="55"/>
        <v>1437.0775566455852</v>
      </c>
      <c r="B405" s="35">
        <f t="shared" si="56"/>
        <v>0.94</v>
      </c>
      <c r="C405" s="35">
        <f t="shared" si="57"/>
        <v>0.95</v>
      </c>
      <c r="D405" s="35">
        <f t="shared" si="58"/>
        <v>1.0000000000000009E-2</v>
      </c>
      <c r="E405" s="69">
        <f t="shared" si="59"/>
        <v>1400</v>
      </c>
      <c r="F405" s="204">
        <f t="shared" si="54"/>
        <v>37.077556645585219</v>
      </c>
      <c r="G405" s="203">
        <f t="shared" si="60"/>
        <v>0.94370775566455845</v>
      </c>
      <c r="H405" s="69">
        <f t="shared" si="61"/>
        <v>1522.7993497135096</v>
      </c>
      <c r="I405" s="35" t="str">
        <f t="shared" si="62"/>
        <v>E</v>
      </c>
      <c r="J405" s="35">
        <f t="shared" si="63"/>
        <v>72</v>
      </c>
      <c r="K405" s="152"/>
      <c r="L405" s="108"/>
    </row>
    <row r="406" spans="1:12" x14ac:dyDescent="0.25">
      <c r="A406" s="479">
        <f t="shared" si="55"/>
        <v>1480.1898833449529</v>
      </c>
      <c r="B406" s="35">
        <f t="shared" si="56"/>
        <v>0.94</v>
      </c>
      <c r="C406" s="35">
        <f t="shared" si="57"/>
        <v>0.95</v>
      </c>
      <c r="D406" s="35">
        <f t="shared" si="58"/>
        <v>1.0000000000000009E-2</v>
      </c>
      <c r="E406" s="69">
        <f t="shared" si="59"/>
        <v>1400</v>
      </c>
      <c r="F406" s="204">
        <f t="shared" si="54"/>
        <v>80.189883344952932</v>
      </c>
      <c r="G406" s="203">
        <f t="shared" si="60"/>
        <v>0.94801898833449527</v>
      </c>
      <c r="H406" s="69">
        <f t="shared" si="61"/>
        <v>1561.3504598102929</v>
      </c>
      <c r="I406" s="35" t="str">
        <f t="shared" si="62"/>
        <v>E</v>
      </c>
      <c r="J406" s="35">
        <f t="shared" si="63"/>
        <v>72</v>
      </c>
      <c r="K406" s="152"/>
      <c r="L406" s="108"/>
    </row>
    <row r="407" spans="1:12" x14ac:dyDescent="0.25">
      <c r="A407" s="479">
        <f t="shared" si="55"/>
        <v>1524.5955798453015</v>
      </c>
      <c r="B407" s="35">
        <f t="shared" si="56"/>
        <v>0.95</v>
      </c>
      <c r="C407" s="35">
        <f t="shared" si="57"/>
        <v>0.95</v>
      </c>
      <c r="D407" s="35">
        <f t="shared" si="58"/>
        <v>0</v>
      </c>
      <c r="E407" s="69">
        <f t="shared" si="59"/>
        <v>1500</v>
      </c>
      <c r="F407" s="204">
        <f t="shared" si="54"/>
        <v>24.595579845301472</v>
      </c>
      <c r="G407" s="203">
        <f t="shared" si="60"/>
        <v>0.95</v>
      </c>
      <c r="H407" s="69">
        <f t="shared" si="61"/>
        <v>1604.8374524687385</v>
      </c>
      <c r="I407" s="35" t="str">
        <f t="shared" si="62"/>
        <v>E</v>
      </c>
      <c r="J407" s="35">
        <f t="shared" si="63"/>
        <v>72</v>
      </c>
      <c r="K407" s="152"/>
      <c r="L407" s="108"/>
    </row>
    <row r="408" spans="1:12" x14ac:dyDescent="0.25">
      <c r="A408" s="479">
        <f t="shared" si="55"/>
        <v>1570.3334472406605</v>
      </c>
      <c r="B408" s="35">
        <f t="shared" si="56"/>
        <v>0.95</v>
      </c>
      <c r="C408" s="35">
        <f t="shared" si="57"/>
        <v>0.95</v>
      </c>
      <c r="D408" s="35">
        <f t="shared" si="58"/>
        <v>0</v>
      </c>
      <c r="E408" s="69">
        <f t="shared" si="59"/>
        <v>1500</v>
      </c>
      <c r="F408" s="204">
        <f t="shared" si="54"/>
        <v>70.333447240660462</v>
      </c>
      <c r="G408" s="203">
        <f t="shared" si="60"/>
        <v>0.95</v>
      </c>
      <c r="H408" s="69">
        <f t="shared" si="61"/>
        <v>1652.9825760428005</v>
      </c>
      <c r="I408" s="35" t="str">
        <f t="shared" si="62"/>
        <v>E</v>
      </c>
      <c r="J408" s="35">
        <f t="shared" si="63"/>
        <v>72</v>
      </c>
      <c r="K408" s="152"/>
      <c r="L408" s="108"/>
    </row>
    <row r="409" spans="1:12" x14ac:dyDescent="0.25">
      <c r="A409" s="479">
        <f t="shared" si="55"/>
        <v>1617.4434506578802</v>
      </c>
      <c r="B409" s="35">
        <f t="shared" si="56"/>
        <v>0.95</v>
      </c>
      <c r="C409" s="35">
        <f t="shared" si="57"/>
        <v>0.95</v>
      </c>
      <c r="D409" s="35">
        <f t="shared" si="58"/>
        <v>0</v>
      </c>
      <c r="E409" s="69">
        <f t="shared" si="59"/>
        <v>1600</v>
      </c>
      <c r="F409" s="204">
        <f t="shared" si="54"/>
        <v>17.443450657880248</v>
      </c>
      <c r="G409" s="203">
        <f t="shared" si="60"/>
        <v>0.95</v>
      </c>
      <c r="H409" s="69">
        <f t="shared" si="61"/>
        <v>1702.5720533240847</v>
      </c>
      <c r="I409" s="35" t="str">
        <f t="shared" si="62"/>
        <v>E</v>
      </c>
      <c r="J409" s="35">
        <f t="shared" si="63"/>
        <v>72</v>
      </c>
      <c r="K409" s="152"/>
      <c r="L409" s="108"/>
    </row>
    <row r="410" spans="1:12" x14ac:dyDescent="0.25">
      <c r="A410" s="479">
        <f t="shared" si="55"/>
        <v>1665.9667541776164</v>
      </c>
      <c r="B410" s="35">
        <f t="shared" si="56"/>
        <v>0.95</v>
      </c>
      <c r="C410" s="35">
        <f t="shared" si="57"/>
        <v>0.95</v>
      </c>
      <c r="D410" s="35">
        <f t="shared" si="58"/>
        <v>0</v>
      </c>
      <c r="E410" s="69">
        <f t="shared" si="59"/>
        <v>1600</v>
      </c>
      <c r="F410" s="204">
        <f t="shared" si="54"/>
        <v>65.966754177616394</v>
      </c>
      <c r="G410" s="203">
        <f t="shared" si="60"/>
        <v>0.95</v>
      </c>
      <c r="H410" s="69">
        <f t="shared" si="61"/>
        <v>1753.6492149238068</v>
      </c>
      <c r="I410" s="35" t="str">
        <f t="shared" si="62"/>
        <v>E</v>
      </c>
      <c r="J410" s="35">
        <f t="shared" si="63"/>
        <v>72</v>
      </c>
      <c r="K410" s="152"/>
      <c r="L410" s="108"/>
    </row>
    <row r="411" spans="1:12" x14ac:dyDescent="0.25">
      <c r="A411" s="479">
        <f t="shared" si="55"/>
        <v>1715.9457568029454</v>
      </c>
      <c r="B411" s="35">
        <f t="shared" si="56"/>
        <v>0.95</v>
      </c>
      <c r="C411" s="35">
        <f t="shared" si="57"/>
        <v>0.95</v>
      </c>
      <c r="D411" s="35">
        <f t="shared" si="58"/>
        <v>0</v>
      </c>
      <c r="E411" s="69">
        <f t="shared" si="59"/>
        <v>1700</v>
      </c>
      <c r="F411" s="204">
        <f t="shared" si="54"/>
        <v>15.945756802945425</v>
      </c>
      <c r="G411" s="203">
        <f t="shared" si="60"/>
        <v>0.95</v>
      </c>
      <c r="H411" s="69">
        <f t="shared" si="61"/>
        <v>1806.2586913715215</v>
      </c>
      <c r="I411" s="35" t="str">
        <f t="shared" si="62"/>
        <v>E</v>
      </c>
      <c r="J411" s="35">
        <f t="shared" si="63"/>
        <v>72</v>
      </c>
      <c r="K411" s="152"/>
      <c r="L411" s="108"/>
    </row>
    <row r="412" spans="1:12" x14ac:dyDescent="0.25">
      <c r="A412" s="479">
        <f t="shared" si="55"/>
        <v>1767.4241295070333</v>
      </c>
      <c r="B412" s="35">
        <f t="shared" si="56"/>
        <v>0.95</v>
      </c>
      <c r="C412" s="35">
        <f t="shared" si="57"/>
        <v>0.95</v>
      </c>
      <c r="D412" s="35">
        <f t="shared" si="58"/>
        <v>0</v>
      </c>
      <c r="E412" s="69">
        <f t="shared" si="59"/>
        <v>1700</v>
      </c>
      <c r="F412" s="204">
        <f t="shared" si="54"/>
        <v>67.424129507033285</v>
      </c>
      <c r="G412" s="203">
        <f t="shared" si="60"/>
        <v>0.95</v>
      </c>
      <c r="H412" s="69">
        <f t="shared" si="61"/>
        <v>1860.4464521126667</v>
      </c>
      <c r="I412" s="35" t="str">
        <f t="shared" si="62"/>
        <v>E</v>
      </c>
      <c r="J412" s="35">
        <f t="shared" si="63"/>
        <v>72</v>
      </c>
      <c r="K412" s="152"/>
      <c r="L412" s="108"/>
    </row>
    <row r="413" spans="1:12" x14ac:dyDescent="0.25">
      <c r="A413" s="479">
        <f t="shared" si="55"/>
        <v>1820.4468533922445</v>
      </c>
      <c r="B413" s="35">
        <f t="shared" si="56"/>
        <v>0.95</v>
      </c>
      <c r="C413" s="35">
        <f t="shared" si="57"/>
        <v>0.96</v>
      </c>
      <c r="D413" s="35">
        <f t="shared" si="58"/>
        <v>1.0000000000000009E-2</v>
      </c>
      <c r="E413" s="69">
        <f t="shared" si="59"/>
        <v>1800</v>
      </c>
      <c r="F413" s="204">
        <f t="shared" si="54"/>
        <v>20.44685339224452</v>
      </c>
      <c r="G413" s="203">
        <f t="shared" si="60"/>
        <v>0.95204468533922437</v>
      </c>
      <c r="H413" s="69">
        <f t="shared" si="61"/>
        <v>1912.144336737302</v>
      </c>
      <c r="I413" s="35" t="str">
        <f t="shared" si="62"/>
        <v>E</v>
      </c>
      <c r="J413" s="35">
        <f t="shared" si="63"/>
        <v>72</v>
      </c>
      <c r="K413" s="152"/>
      <c r="L413" s="108"/>
    </row>
    <row r="414" spans="1:12" x14ac:dyDescent="0.25">
      <c r="A414" s="479">
        <f>J108/12</f>
        <v>1875.060258994012</v>
      </c>
      <c r="B414" s="35">
        <f>IF(A414&lt;=100,0.83,IF(AND(A414&gt;100,A414&lt;=200),0.87,IF(AND(A414&gt;200,A414&lt;=400),0.9,IF(AND(A414&gt;400,A414&lt;=500),0.91,IF(AND(A414&gt;500,A414&lt;=600),0.91,IF(AND(A414&gt;600,A414&lt;=700),0.92,IF(AND(A414&gt;700,A414&lt;=800),0.92,IF(AND(A414&gt;800,A414&lt;=900),0.93,IF(AND(A414&gt;900,A414&lt;=1000),0.93,IF(AND(A414&gt;1000,A414&lt;=1100),0.93,IF(AND(A414&gt;1100,A414&lt;=1200),0.94,IF(AND(A414&gt;1200,A414&lt;=1300),0.94,IF(AND(A414&gt;1300,A414&lt;=1400),0.94,IF(AND(A414&gt;1400,A414&lt;=1500),0.94,IF(AND(A414&gt;1500,A414&lt;=1600),0.95,IF(AND(A414&gt;1600,A414&lt;=1700),0.95,IF(AND(A414&gt;1700,A414&lt;=1800),0.95,IF(AND(A414&gt;1800,A414&lt;=1900),0.95,IF(A414&gt;1900,0.96)))))))))))))))))))</f>
        <v>0.95</v>
      </c>
      <c r="C414" s="35">
        <f>IF(A414&lt;=100,0.87,IF(AND(A414&gt;100,A414&lt;=200),0.9,IF(AND(A414&gt;200,A414&lt;=400),0.91,IF(AND(A414&gt;400,A414&lt;=500),0.91,IF(AND(A414&gt;500,A414&lt;=600),0.92,IF(AND(A414&gt;600,A414&lt;=700),0.92,IF(AND(A414&gt;700,A414&lt;=800),0.93,IF(AND(A414&gt;800,A414&lt;=900),0.93,IF(AND(A414&gt;900,A414&lt;=1000),0.93,IF(AND(A414&gt;1000,A414&lt;=1100),0.94,IF(AND(A414&gt;1100,A414&lt;=1200),0.94,IF(AND(A414&gt;1200,A414&lt;=1300),0.94,IF(AND(A414&gt;1300,A414&lt;=1400),0.94,IF(AND(A414&gt;1400,A414&lt;=1500),0.95,IF(AND(A414&gt;1500,A414&lt;=1600),0.95,IF(AND(A414&gt;1600,A414&lt;=1700),0.95,IF(AND(A414&gt;1700,A414&lt;=1800),0.95,IF(AND(A414&gt;1800,A414&lt;=1900),0.96,IF(A414&gt;1900,1)))))))))))))))))))</f>
        <v>0.96</v>
      </c>
      <c r="D414" s="35">
        <f>C414-B414</f>
        <v>1.0000000000000009E-2</v>
      </c>
      <c r="E414" s="69">
        <f>IF(AND(A414&gt;=100,A414&lt;200),100,IF(AND(A414&gt;=200,A414&lt;300),200,IF(AND(A414&gt;=300,A414&lt;400),300,IF(AND(A414&gt;=400,A414&lt;500),400,IF(AND(A414&gt;=500,A414&lt;600),500,IF(AND(A414&gt;=600,A414&lt;700),600,IF(AND(A414&gt;=700,A414&lt;800),700,IF(AND(A414&gt;=800,A414&lt;900),800,IF(AND(A414&gt;=900,A414&lt;1000),900,IF(AND(A414&gt;=1000,A414&lt;1100),1000,IF(AND(A414&gt;=1100,A414&lt;1200),1100,IF(AND(A414&gt;=1200,A414&lt;1300),1200,IF(AND(A414&gt;=1300,A414&lt;1400),1300,IF(AND(A414&gt;=1400,A414&lt;1500),1400,IF(AND(A414&gt;=1500,A414&lt;1600),1500,IF(AND(A414&gt;=1600,A414&lt;1700),1600,IF(AND(A414&gt;=1700,A414&lt;1800),1700,IF(AND(A414&gt;=1800,A414&lt;1900),1800,IF(A414&gt;=1900,1900)))))))))))))))))))</f>
        <v>1800</v>
      </c>
      <c r="F414" s="204">
        <f>A414-E414</f>
        <v>75.060258994011974</v>
      </c>
      <c r="G414" s="203">
        <f>B414+(D414*F414)/100</f>
        <v>0.95750602589940115</v>
      </c>
      <c r="H414" s="69">
        <f>A414/G414</f>
        <v>1958.2751526109062</v>
      </c>
      <c r="I414" s="35" t="str">
        <f>IF(H414&lt;=$K$159,"A",IF(AND(H414&gt;$K$159,H414&lt;=$K$160),"B",IF(AND(H414&gt;$K$160,H414&lt;=$K$161),"C",IF(AND(H414&gt;$K$161,H414&lt;=$K$162),"D",IF(AND(H414&gt;$K$162,H414&lt;=$K$163),"E",IF(H414&gt;$K$163,"F"))))))</f>
        <v>E</v>
      </c>
      <c r="J414" s="35">
        <f>IF(I414="A",$D$222,IF(I414="B",$D$223,IF(I414="C",$D$224,IF(I414="D",$D$225,IF(I414="E",$D$226,IF(I414="F",$D$202))))))</f>
        <v>72</v>
      </c>
    </row>
    <row r="415" spans="1:12" x14ac:dyDescent="0.25">
      <c r="A415" s="479">
        <f>J109/12</f>
        <v>1931.312066763832</v>
      </c>
      <c r="B415" s="35">
        <f>IF(A415&lt;=100,0.83,IF(AND(A415&gt;100,A415&lt;=200),0.87,IF(AND(A415&gt;200,A415&lt;=400),0.9,IF(AND(A415&gt;400,A415&lt;=500),0.91,IF(AND(A415&gt;500,A415&lt;=600),0.91,IF(AND(A415&gt;600,A415&lt;=700),0.92,IF(AND(A415&gt;700,A415&lt;=800),0.92,IF(AND(A415&gt;800,A415&lt;=900),0.93,IF(AND(A415&gt;900,A415&lt;=1000),0.93,IF(AND(A415&gt;1000,A415&lt;=1100),0.93,IF(AND(A415&gt;1100,A415&lt;=1200),0.94,IF(AND(A415&gt;1200,A415&lt;=1300),0.94,IF(AND(A415&gt;1300,A415&lt;=1400),0.94,IF(AND(A415&gt;1400,A415&lt;=1500),0.94,IF(AND(A415&gt;1500,A415&lt;=1600),0.95,IF(AND(A415&gt;1600,A415&lt;=1700),0.95,IF(AND(A415&gt;1700,A415&lt;=1800),0.95,IF(AND(A415&gt;1800,A415&lt;=1900),0.95,IF(A415&gt;1900,0.96)))))))))))))))))))</f>
        <v>0.96</v>
      </c>
      <c r="C415" s="35">
        <f>IF(A415&lt;=100,0.87,IF(AND(A415&gt;100,A415&lt;=200),0.9,IF(AND(A415&gt;200,A415&lt;=400),0.91,IF(AND(A415&gt;400,A415&lt;=500),0.91,IF(AND(A415&gt;500,A415&lt;=600),0.92,IF(AND(A415&gt;600,A415&lt;=700),0.92,IF(AND(A415&gt;700,A415&lt;=800),0.93,IF(AND(A415&gt;800,A415&lt;=900),0.93,IF(AND(A415&gt;900,A415&lt;=1000),0.93,IF(AND(A415&gt;1000,A415&lt;=1100),0.94,IF(AND(A415&gt;1100,A415&lt;=1200),0.94,IF(AND(A415&gt;1200,A415&lt;=1300),0.94,IF(AND(A415&gt;1300,A415&lt;=1400),0.94,IF(AND(A415&gt;1400,A415&lt;=1500),0.95,IF(AND(A415&gt;1500,A415&lt;=1600),0.95,IF(AND(A415&gt;1600,A415&lt;=1700),0.95,IF(AND(A415&gt;1700,A415&lt;=1800),0.95,IF(AND(A415&gt;1800,A415&lt;=1900),0.96,IF(A415&gt;1900,1)))))))))))))))))))</f>
        <v>1</v>
      </c>
      <c r="D415" s="35">
        <f>C415-B415</f>
        <v>4.0000000000000036E-2</v>
      </c>
      <c r="E415" s="69">
        <f>IF(AND(A415&gt;=100,A415&lt;200),100,IF(AND(A415&gt;=200,A415&lt;300),200,IF(AND(A415&gt;=300,A415&lt;400),300,IF(AND(A415&gt;=400,A415&lt;500),400,IF(AND(A415&gt;=500,A415&lt;600),500,IF(AND(A415&gt;=600,A415&lt;700),600,IF(AND(A415&gt;=700,A415&lt;800),700,IF(AND(A415&gt;=800,A415&lt;900),800,IF(AND(A415&gt;=900,A415&lt;1000),900,IF(AND(A415&gt;=1000,A415&lt;1100),1000,IF(AND(A415&gt;=1100,A415&lt;1200),1100,IF(AND(A415&gt;=1200,A415&lt;1300),1200,IF(AND(A415&gt;=1300,A415&lt;1400),1300,IF(AND(A415&gt;=1400,A415&lt;1500),1400,IF(AND(A415&gt;=1500,A415&lt;1600),1500,IF(AND(A415&gt;=1600,A415&lt;1700),1600,IF(AND(A415&gt;=1700,A415&lt;1800),1700,IF(AND(A415&gt;=1800,A415&lt;1900),1800,IF(A415&gt;=1900,1900)))))))))))))))))))</f>
        <v>1900</v>
      </c>
      <c r="F415" s="204">
        <f>A415-E415</f>
        <v>31.312066763832036</v>
      </c>
      <c r="G415" s="203">
        <f>B415+(D415*F415)/100</f>
        <v>0.97252482670553275</v>
      </c>
      <c r="H415" s="69">
        <f>A415/G415</f>
        <v>1985.8743075035213</v>
      </c>
      <c r="I415" s="35" t="str">
        <f>IF(H415&lt;=$K$159,"A",IF(AND(H415&gt;$K$159,H415&lt;=$K$160),"B",IF(AND(H415&gt;$K$160,H415&lt;=$K$161),"C",IF(AND(H415&gt;$K$161,H415&lt;=$K$162),"D",IF(AND(H415&gt;$K$162,H415&lt;=$K$163),"E",IF(H415&gt;$K$163,"F"))))))</f>
        <v>E</v>
      </c>
      <c r="J415" s="35">
        <f>IF(I415="A",$D$222,IF(I415="B",$D$223,IF(I415="C",$D$224,IF(I415="D",$D$225,IF(I415="E",$D$226,IF(I415="F",$D$202))))))</f>
        <v>72</v>
      </c>
    </row>
  </sheetData>
  <mergeCells count="4">
    <mergeCell ref="E193:J193"/>
    <mergeCell ref="E205:J205"/>
    <mergeCell ref="E217:J217"/>
    <mergeCell ref="E167:J167"/>
  </mergeCells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8"/>
  <sheetViews>
    <sheetView workbookViewId="0">
      <selection activeCell="I41" sqref="I41"/>
    </sheetView>
  </sheetViews>
  <sheetFormatPr baseColWidth="10" defaultRowHeight="15" x14ac:dyDescent="0.25"/>
  <cols>
    <col min="1" max="1" width="13.5703125" customWidth="1"/>
    <col min="3" max="3" width="13.5703125" customWidth="1"/>
    <col min="4" max="4" width="20.85546875" customWidth="1"/>
    <col min="8" max="8" width="11.42578125" customWidth="1"/>
  </cols>
  <sheetData>
    <row r="1" spans="1:12" x14ac:dyDescent="0.25">
      <c r="A1" s="67" t="s">
        <v>163</v>
      </c>
      <c r="B1" s="67"/>
      <c r="C1" s="67"/>
    </row>
    <row r="2" spans="1:12" x14ac:dyDescent="0.25">
      <c r="A2" s="68" t="s">
        <v>18</v>
      </c>
      <c r="B2" s="68" t="s">
        <v>45</v>
      </c>
      <c r="C2" s="41" t="s">
        <v>46</v>
      </c>
      <c r="D2" s="41" t="s">
        <v>47</v>
      </c>
      <c r="E2" s="41" t="s">
        <v>48</v>
      </c>
      <c r="F2" s="41" t="s">
        <v>49</v>
      </c>
      <c r="G2" s="41" t="s">
        <v>50</v>
      </c>
      <c r="H2" s="41" t="s">
        <v>51</v>
      </c>
      <c r="I2" s="41" t="s">
        <v>52</v>
      </c>
      <c r="J2" s="41" t="s">
        <v>53</v>
      </c>
      <c r="K2" s="105" t="str">
        <f>F325</f>
        <v>NS</v>
      </c>
      <c r="L2" s="105" t="str">
        <f>G325</f>
        <v>VEL1</v>
      </c>
    </row>
    <row r="3" spans="1:12" x14ac:dyDescent="0.25">
      <c r="A3" s="41">
        <v>2013</v>
      </c>
      <c r="B3" s="41">
        <v>0</v>
      </c>
      <c r="C3" s="206">
        <f>'2 CARRILES HCM'!C3</f>
        <v>3595.5</v>
      </c>
      <c r="D3" s="206">
        <f>'2 CARRILES HCM'!D3</f>
        <v>243</v>
      </c>
      <c r="E3" s="206">
        <f>'2 CARRILES HCM'!E3</f>
        <v>306</v>
      </c>
      <c r="F3" s="206">
        <f>'2 CARRILES HCM'!F3</f>
        <v>90</v>
      </c>
      <c r="G3" s="206">
        <f>'2 CARRILES HCM'!G3</f>
        <v>92.25</v>
      </c>
      <c r="H3" s="206">
        <f>'2 CARRILES HCM'!H3</f>
        <v>45</v>
      </c>
      <c r="I3" s="206">
        <f>'2 CARRILES HCM'!I3</f>
        <v>128.25</v>
      </c>
      <c r="J3" s="207">
        <f t="shared" ref="J3:J33" si="0">SUM(C3:I3)</f>
        <v>4500</v>
      </c>
      <c r="K3" s="35" t="e">
        <f>F326</f>
        <v>#VALUE!</v>
      </c>
      <c r="L3" s="69" t="e">
        <f>M326</f>
        <v>#VALUE!</v>
      </c>
    </row>
    <row r="4" spans="1:12" x14ac:dyDescent="0.25">
      <c r="A4" s="41">
        <v>2014</v>
      </c>
      <c r="B4" s="41">
        <v>1</v>
      </c>
      <c r="C4" s="206">
        <f>'2 CARRILES HCM'!C4</f>
        <v>3703.3650000000002</v>
      </c>
      <c r="D4" s="206">
        <f>'2 CARRILES HCM'!D4</f>
        <v>250.29000000000002</v>
      </c>
      <c r="E4" s="206">
        <f>'2 CARRILES HCM'!E4</f>
        <v>315.18</v>
      </c>
      <c r="F4" s="206">
        <f>'2 CARRILES HCM'!F4</f>
        <v>92.7</v>
      </c>
      <c r="G4" s="206">
        <f>'2 CARRILES HCM'!G4</f>
        <v>95.017499999999998</v>
      </c>
      <c r="H4" s="206">
        <f>'2 CARRILES HCM'!H4</f>
        <v>46.35</v>
      </c>
      <c r="I4" s="206">
        <f>'2 CARRILES HCM'!I4</f>
        <v>132.0975</v>
      </c>
      <c r="J4" s="207">
        <f t="shared" si="0"/>
        <v>4635</v>
      </c>
      <c r="K4" s="35" t="e">
        <f t="shared" ref="K4:K33" si="1">F327</f>
        <v>#VALUE!</v>
      </c>
      <c r="L4" s="69" t="e">
        <f t="shared" ref="L4:L33" si="2">M327</f>
        <v>#VALUE!</v>
      </c>
    </row>
    <row r="5" spans="1:12" x14ac:dyDescent="0.25">
      <c r="A5" s="41">
        <v>2015</v>
      </c>
      <c r="B5" s="41">
        <v>2</v>
      </c>
      <c r="C5" s="206">
        <f>'2 CARRILES HCM'!C5</f>
        <v>3814.4659499999998</v>
      </c>
      <c r="D5" s="206">
        <f>'2 CARRILES HCM'!D5</f>
        <v>257.7987</v>
      </c>
      <c r="E5" s="206">
        <f>'2 CARRILES HCM'!E5</f>
        <v>324.6354</v>
      </c>
      <c r="F5" s="206">
        <f>'2 CARRILES HCM'!F5</f>
        <v>95.480999999999995</v>
      </c>
      <c r="G5" s="206">
        <f>'2 CARRILES HCM'!G5</f>
        <v>97.868024999999989</v>
      </c>
      <c r="H5" s="206">
        <f>'2 CARRILES HCM'!H5</f>
        <v>47.740499999999997</v>
      </c>
      <c r="I5" s="206">
        <f>'2 CARRILES HCM'!I5</f>
        <v>136.06042499999998</v>
      </c>
      <c r="J5" s="207">
        <f t="shared" si="0"/>
        <v>4774.0499999999984</v>
      </c>
      <c r="K5" s="35" t="e">
        <f t="shared" si="1"/>
        <v>#VALUE!</v>
      </c>
      <c r="L5" s="69" t="e">
        <f t="shared" si="2"/>
        <v>#VALUE!</v>
      </c>
    </row>
    <row r="6" spans="1:12" x14ac:dyDescent="0.25">
      <c r="A6" s="41">
        <v>2016</v>
      </c>
      <c r="B6" s="41">
        <v>3</v>
      </c>
      <c r="C6" s="206">
        <f>'2 CARRILES HCM'!C6</f>
        <v>3928.8999285</v>
      </c>
      <c r="D6" s="206">
        <f>'2 CARRILES HCM'!D6</f>
        <v>265.53266100000002</v>
      </c>
      <c r="E6" s="206">
        <f>'2 CARRILES HCM'!E6</f>
        <v>334.37446199999999</v>
      </c>
      <c r="F6" s="206">
        <f>'2 CARRILES HCM'!F6</f>
        <v>98.345429999999993</v>
      </c>
      <c r="G6" s="206">
        <f>'2 CARRILES HCM'!G6</f>
        <v>100.80406575000001</v>
      </c>
      <c r="H6" s="206">
        <f>'2 CARRILES HCM'!H6</f>
        <v>49.172714999999997</v>
      </c>
      <c r="I6" s="206">
        <f>'2 CARRILES HCM'!I6</f>
        <v>140.14223774999999</v>
      </c>
      <c r="J6" s="207">
        <f t="shared" si="0"/>
        <v>4917.2714999999998</v>
      </c>
      <c r="K6" s="35" t="e">
        <f t="shared" si="1"/>
        <v>#VALUE!</v>
      </c>
      <c r="L6" s="69" t="e">
        <f t="shared" si="2"/>
        <v>#VALUE!</v>
      </c>
    </row>
    <row r="7" spans="1:12" x14ac:dyDescent="0.25">
      <c r="A7" s="41">
        <v>2017</v>
      </c>
      <c r="B7" s="41">
        <v>4</v>
      </c>
      <c r="C7" s="206">
        <f>'2 CARRILES HCM'!C7</f>
        <v>4046.7669263549997</v>
      </c>
      <c r="D7" s="206">
        <f>'2 CARRILES HCM'!D7</f>
        <v>273.49864083</v>
      </c>
      <c r="E7" s="206">
        <f>'2 CARRILES HCM'!E7</f>
        <v>344.40569585999998</v>
      </c>
      <c r="F7" s="206">
        <f>'2 CARRILES HCM'!F7</f>
        <v>101.2957929</v>
      </c>
      <c r="G7" s="206">
        <f>'2 CARRILES HCM'!G7</f>
        <v>103.82818772249999</v>
      </c>
      <c r="H7" s="206">
        <f>'2 CARRILES HCM'!H7</f>
        <v>50.647896449999998</v>
      </c>
      <c r="I7" s="206">
        <f>'2 CARRILES HCM'!I7</f>
        <v>144.3465048825</v>
      </c>
      <c r="J7" s="207">
        <f t="shared" si="0"/>
        <v>5064.7896450000007</v>
      </c>
      <c r="K7" s="35" t="e">
        <f t="shared" si="1"/>
        <v>#VALUE!</v>
      </c>
      <c r="L7" s="69" t="e">
        <f t="shared" si="2"/>
        <v>#VALUE!</v>
      </c>
    </row>
    <row r="8" spans="1:12" x14ac:dyDescent="0.25">
      <c r="A8" s="41">
        <v>2018</v>
      </c>
      <c r="B8" s="41">
        <v>5</v>
      </c>
      <c r="C8" s="206">
        <f>'2 CARRILES HCM'!C8</f>
        <v>4168.1699341456497</v>
      </c>
      <c r="D8" s="206">
        <f>'2 CARRILES HCM'!D8</f>
        <v>281.70360005489994</v>
      </c>
      <c r="E8" s="206">
        <f>'2 CARRILES HCM'!E8</f>
        <v>354.73786673579997</v>
      </c>
      <c r="F8" s="206">
        <f>'2 CARRILES HCM'!F8</f>
        <v>104.33466668699998</v>
      </c>
      <c r="G8" s="206">
        <f>'2 CARRILES HCM'!G8</f>
        <v>106.94303335417499</v>
      </c>
      <c r="H8" s="206">
        <f>'2 CARRILES HCM'!H8</f>
        <v>52.16733334349999</v>
      </c>
      <c r="I8" s="206">
        <f>'2 CARRILES HCM'!I8</f>
        <v>148.67690002897498</v>
      </c>
      <c r="J8" s="207">
        <f t="shared" si="0"/>
        <v>5216.7333343499995</v>
      </c>
      <c r="K8" s="35" t="e">
        <f t="shared" si="1"/>
        <v>#VALUE!</v>
      </c>
      <c r="L8" s="69" t="e">
        <f t="shared" si="2"/>
        <v>#VALUE!</v>
      </c>
    </row>
    <row r="9" spans="1:12" x14ac:dyDescent="0.25">
      <c r="A9" s="41">
        <v>2019</v>
      </c>
      <c r="B9" s="41">
        <v>6</v>
      </c>
      <c r="C9" s="206">
        <f>'2 CARRILES HCM'!C9</f>
        <v>4293.2150321700192</v>
      </c>
      <c r="D9" s="206">
        <f>'2 CARRILES HCM'!D9</f>
        <v>290.15470805654695</v>
      </c>
      <c r="E9" s="206">
        <f>'2 CARRILES HCM'!E9</f>
        <v>365.38000273787395</v>
      </c>
      <c r="F9" s="206">
        <f>'2 CARRILES HCM'!F9</f>
        <v>107.46470668760999</v>
      </c>
      <c r="G9" s="206">
        <f>'2 CARRILES HCM'!G9</f>
        <v>110.15132435480024</v>
      </c>
      <c r="H9" s="206">
        <f>'2 CARRILES HCM'!H9</f>
        <v>53.732353343804995</v>
      </c>
      <c r="I9" s="206">
        <f>'2 CARRILES HCM'!I9</f>
        <v>153.13720702984423</v>
      </c>
      <c r="J9" s="207">
        <f t="shared" si="0"/>
        <v>5373.2353343804989</v>
      </c>
      <c r="K9" s="35" t="e">
        <f t="shared" si="1"/>
        <v>#VALUE!</v>
      </c>
      <c r="L9" s="69" t="e">
        <f t="shared" si="2"/>
        <v>#VALUE!</v>
      </c>
    </row>
    <row r="10" spans="1:12" x14ac:dyDescent="0.25">
      <c r="A10" s="41">
        <v>2020</v>
      </c>
      <c r="B10" s="41">
        <v>7</v>
      </c>
      <c r="C10" s="206">
        <f>'2 CARRILES HCM'!C10</f>
        <v>4422.0114831351202</v>
      </c>
      <c r="D10" s="206">
        <f>'2 CARRILES HCM'!D10</f>
        <v>298.85934929824339</v>
      </c>
      <c r="E10" s="206">
        <f>'2 CARRILES HCM'!E10</f>
        <v>376.34140282001022</v>
      </c>
      <c r="F10" s="206">
        <f>'2 CARRILES HCM'!F10</f>
        <v>110.68864788823829</v>
      </c>
      <c r="G10" s="206">
        <f>'2 CARRILES HCM'!G10</f>
        <v>113.45586408544426</v>
      </c>
      <c r="H10" s="206">
        <f>'2 CARRILES HCM'!H10</f>
        <v>55.344323944119147</v>
      </c>
      <c r="I10" s="206">
        <f>'2 CARRILES HCM'!I10</f>
        <v>157.73132324073958</v>
      </c>
      <c r="J10" s="207">
        <f t="shared" si="0"/>
        <v>5534.4323944119151</v>
      </c>
      <c r="K10" s="35" t="e">
        <f t="shared" si="1"/>
        <v>#VALUE!</v>
      </c>
      <c r="L10" s="69" t="e">
        <f t="shared" si="2"/>
        <v>#VALUE!</v>
      </c>
    </row>
    <row r="11" spans="1:12" x14ac:dyDescent="0.25">
      <c r="A11" s="41">
        <v>2021</v>
      </c>
      <c r="B11" s="41">
        <v>8</v>
      </c>
      <c r="C11" s="206">
        <f>'2 CARRILES HCM'!C11</f>
        <v>4554.6718276291731</v>
      </c>
      <c r="D11" s="206">
        <f>'2 CARRILES HCM'!D11</f>
        <v>307.82512977719068</v>
      </c>
      <c r="E11" s="206">
        <f>'2 CARRILES HCM'!E11</f>
        <v>387.63164490461048</v>
      </c>
      <c r="F11" s="206">
        <f>'2 CARRILES HCM'!F11</f>
        <v>114.00930732488544</v>
      </c>
      <c r="G11" s="206">
        <f>'2 CARRILES HCM'!G11</f>
        <v>116.85954000800757</v>
      </c>
      <c r="H11" s="206">
        <f>'2 CARRILES HCM'!H11</f>
        <v>57.00465366244272</v>
      </c>
      <c r="I11" s="206">
        <f>'2 CARRILES HCM'!I11</f>
        <v>162.46326293796173</v>
      </c>
      <c r="J11" s="207">
        <f t="shared" si="0"/>
        <v>5700.4653662442724</v>
      </c>
      <c r="K11" s="35" t="e">
        <f t="shared" si="1"/>
        <v>#VALUE!</v>
      </c>
      <c r="L11" s="69" t="e">
        <f t="shared" si="2"/>
        <v>#VALUE!</v>
      </c>
    </row>
    <row r="12" spans="1:12" x14ac:dyDescent="0.25">
      <c r="A12" s="41">
        <v>2022</v>
      </c>
      <c r="B12" s="41">
        <v>9</v>
      </c>
      <c r="C12" s="206">
        <f>'2 CARRILES HCM'!C12</f>
        <v>4691.3119824580481</v>
      </c>
      <c r="D12" s="206">
        <f>'2 CARRILES HCM'!D12</f>
        <v>317.05988367050639</v>
      </c>
      <c r="E12" s="206">
        <f>'2 CARRILES HCM'!E12</f>
        <v>399.26059425174878</v>
      </c>
      <c r="F12" s="206">
        <f>'2 CARRILES HCM'!F12</f>
        <v>117.429586544632</v>
      </c>
      <c r="G12" s="206">
        <f>'2 CARRILES HCM'!G12</f>
        <v>120.36532620824781</v>
      </c>
      <c r="H12" s="206">
        <f>'2 CARRILES HCM'!H12</f>
        <v>58.714793272316001</v>
      </c>
      <c r="I12" s="206">
        <f>'2 CARRILES HCM'!I12</f>
        <v>167.33716082610061</v>
      </c>
      <c r="J12" s="207">
        <f t="shared" si="0"/>
        <v>5871.4793272316001</v>
      </c>
      <c r="K12" s="35" t="e">
        <f t="shared" si="1"/>
        <v>#VALUE!</v>
      </c>
      <c r="L12" s="69" t="e">
        <f t="shared" si="2"/>
        <v>#VALUE!</v>
      </c>
    </row>
    <row r="13" spans="1:12" x14ac:dyDescent="0.25">
      <c r="A13" s="41">
        <v>2023</v>
      </c>
      <c r="B13" s="41">
        <v>10</v>
      </c>
      <c r="C13" s="206">
        <f>'2 CARRILES HCM'!C13</f>
        <v>4832.0513419317895</v>
      </c>
      <c r="D13" s="206">
        <f>'2 CARRILES HCM'!D13</f>
        <v>326.57168018062157</v>
      </c>
      <c r="E13" s="206">
        <f>'2 CARRILES HCM'!E13</f>
        <v>411.23841207930127</v>
      </c>
      <c r="F13" s="206">
        <f>'2 CARRILES HCM'!F13</f>
        <v>120.95247414097096</v>
      </c>
      <c r="G13" s="206">
        <f>'2 CARRILES HCM'!G13</f>
        <v>123.97628599449523</v>
      </c>
      <c r="H13" s="206">
        <f>'2 CARRILES HCM'!H13</f>
        <v>60.476237070485482</v>
      </c>
      <c r="I13" s="206">
        <f>'2 CARRILES HCM'!I13</f>
        <v>172.35727565088362</v>
      </c>
      <c r="J13" s="207">
        <f t="shared" si="0"/>
        <v>6047.6237070485486</v>
      </c>
      <c r="K13" s="35" t="e">
        <f t="shared" si="1"/>
        <v>#VALUE!</v>
      </c>
      <c r="L13" s="69" t="e">
        <f t="shared" si="2"/>
        <v>#VALUE!</v>
      </c>
    </row>
    <row r="14" spans="1:12" x14ac:dyDescent="0.25">
      <c r="A14" s="41">
        <v>2024</v>
      </c>
      <c r="B14" s="41">
        <v>11</v>
      </c>
      <c r="C14" s="206">
        <f>'2 CARRILES HCM'!C14</f>
        <v>4977.0128821897433</v>
      </c>
      <c r="D14" s="206">
        <f>'2 CARRILES HCM'!D14</f>
        <v>336.36883058604025</v>
      </c>
      <c r="E14" s="206">
        <f>'2 CARRILES HCM'!E14</f>
        <v>423.57556444168034</v>
      </c>
      <c r="F14" s="206">
        <f>'2 CARRILES HCM'!F14</f>
        <v>124.58104836520009</v>
      </c>
      <c r="G14" s="206">
        <f>'2 CARRILES HCM'!G14</f>
        <v>127.6955745743301</v>
      </c>
      <c r="H14" s="206">
        <f>'2 CARRILES HCM'!H14</f>
        <v>62.290524182600045</v>
      </c>
      <c r="I14" s="206">
        <f>'2 CARRILES HCM'!I14</f>
        <v>177.52799392041013</v>
      </c>
      <c r="J14" s="207">
        <f t="shared" si="0"/>
        <v>6229.0524182600047</v>
      </c>
      <c r="K14" s="35" t="e">
        <f t="shared" si="1"/>
        <v>#VALUE!</v>
      </c>
      <c r="L14" s="69" t="e">
        <f t="shared" si="2"/>
        <v>#VALUE!</v>
      </c>
    </row>
    <row r="15" spans="1:12" x14ac:dyDescent="0.25">
      <c r="A15" s="41">
        <v>2025</v>
      </c>
      <c r="B15" s="41">
        <v>12</v>
      </c>
      <c r="C15" s="206">
        <f>'2 CARRILES HCM'!C15</f>
        <v>5126.3232686554356</v>
      </c>
      <c r="D15" s="206">
        <f>'2 CARRILES HCM'!D15</f>
        <v>346.4598955036214</v>
      </c>
      <c r="E15" s="206">
        <f>'2 CARRILES HCM'!E15</f>
        <v>436.28283137493065</v>
      </c>
      <c r="F15" s="206">
        <f>'2 CARRILES HCM'!F15</f>
        <v>128.31847981615607</v>
      </c>
      <c r="G15" s="206">
        <f>'2 CARRILES HCM'!G15</f>
        <v>131.52644181155998</v>
      </c>
      <c r="H15" s="206">
        <f>'2 CARRILES HCM'!H15</f>
        <v>64.159239908078035</v>
      </c>
      <c r="I15" s="206">
        <f>'2 CARRILES HCM'!I15</f>
        <v>182.85383373802242</v>
      </c>
      <c r="J15" s="207">
        <f t="shared" si="0"/>
        <v>6415.9239908078052</v>
      </c>
      <c r="K15" s="35" t="e">
        <f t="shared" si="1"/>
        <v>#VALUE!</v>
      </c>
      <c r="L15" s="69" t="e">
        <f t="shared" si="2"/>
        <v>#VALUE!</v>
      </c>
    </row>
    <row r="16" spans="1:12" x14ac:dyDescent="0.25">
      <c r="A16" s="41">
        <v>2026</v>
      </c>
      <c r="B16" s="41">
        <v>13</v>
      </c>
      <c r="C16" s="206">
        <f>'2 CARRILES HCM'!C16</f>
        <v>5280.1129667150981</v>
      </c>
      <c r="D16" s="206">
        <f>'2 CARRILES HCM'!D16</f>
        <v>356.85369236873004</v>
      </c>
      <c r="E16" s="206">
        <f>'2 CARRILES HCM'!E16</f>
        <v>449.37131631617854</v>
      </c>
      <c r="F16" s="206">
        <f>'2 CARRILES HCM'!F16</f>
        <v>132.16803421064074</v>
      </c>
      <c r="G16" s="206">
        <f>'2 CARRILES HCM'!G16</f>
        <v>135.47223506590677</v>
      </c>
      <c r="H16" s="206">
        <f>'2 CARRILES HCM'!H16</f>
        <v>66.08401710532037</v>
      </c>
      <c r="I16" s="206">
        <f>'2 CARRILES HCM'!I16</f>
        <v>188.33944875016309</v>
      </c>
      <c r="J16" s="207">
        <f t="shared" si="0"/>
        <v>6608.4017105320372</v>
      </c>
      <c r="K16" s="35" t="e">
        <f t="shared" si="1"/>
        <v>#VALUE!</v>
      </c>
      <c r="L16" s="69" t="e">
        <f t="shared" si="2"/>
        <v>#VALUE!</v>
      </c>
    </row>
    <row r="17" spans="1:12" x14ac:dyDescent="0.25">
      <c r="A17" s="41">
        <v>2027</v>
      </c>
      <c r="B17" s="41">
        <v>14</v>
      </c>
      <c r="C17" s="206">
        <f>'2 CARRILES HCM'!C17</f>
        <v>5438.5163557165515</v>
      </c>
      <c r="D17" s="206">
        <f>'2 CARRILES HCM'!D17</f>
        <v>367.55930313979195</v>
      </c>
      <c r="E17" s="206">
        <f>'2 CARRILES HCM'!E17</f>
        <v>462.85245580566396</v>
      </c>
      <c r="F17" s="206">
        <f>'2 CARRILES HCM'!F17</f>
        <v>136.13307523696</v>
      </c>
      <c r="G17" s="206">
        <f>'2 CARRILES HCM'!G17</f>
        <v>139.53640211788399</v>
      </c>
      <c r="H17" s="206">
        <f>'2 CARRILES HCM'!H17</f>
        <v>68.066537618479998</v>
      </c>
      <c r="I17" s="206">
        <f>'2 CARRILES HCM'!I17</f>
        <v>193.989632212668</v>
      </c>
      <c r="J17" s="207">
        <f t="shared" si="0"/>
        <v>6806.6537618479997</v>
      </c>
      <c r="K17" s="35" t="e">
        <f t="shared" si="1"/>
        <v>#VALUE!</v>
      </c>
      <c r="L17" s="69" t="e">
        <f t="shared" si="2"/>
        <v>#VALUE!</v>
      </c>
    </row>
    <row r="18" spans="1:12" x14ac:dyDescent="0.25">
      <c r="A18" s="41">
        <v>2028</v>
      </c>
      <c r="B18" s="41">
        <v>15</v>
      </c>
      <c r="C18" s="206">
        <f>'2 CARRILES HCM'!C18</f>
        <v>5601.6718463880488</v>
      </c>
      <c r="D18" s="206">
        <f>'2 CARRILES HCM'!D18</f>
        <v>378.58608223398574</v>
      </c>
      <c r="E18" s="206">
        <f>'2 CARRILES HCM'!E18</f>
        <v>476.73802947983393</v>
      </c>
      <c r="F18" s="206">
        <f>'2 CARRILES HCM'!F18</f>
        <v>140.2170674940688</v>
      </c>
      <c r="G18" s="206">
        <f>'2 CARRILES HCM'!G18</f>
        <v>143.72249418142053</v>
      </c>
      <c r="H18" s="206">
        <f>'2 CARRILES HCM'!H18</f>
        <v>70.1085337470344</v>
      </c>
      <c r="I18" s="206">
        <f>'2 CARRILES HCM'!I18</f>
        <v>199.80932117904803</v>
      </c>
      <c r="J18" s="207">
        <f t="shared" si="0"/>
        <v>7010.8533747034398</v>
      </c>
      <c r="K18" s="35" t="e">
        <f t="shared" si="1"/>
        <v>#VALUE!</v>
      </c>
      <c r="L18" s="69" t="e">
        <f t="shared" si="2"/>
        <v>#VALUE!</v>
      </c>
    </row>
    <row r="19" spans="1:12" x14ac:dyDescent="0.25">
      <c r="A19" s="41">
        <v>2029</v>
      </c>
      <c r="B19" s="41">
        <v>16</v>
      </c>
      <c r="C19" s="206">
        <f>'2 CARRILES HCM'!C19</f>
        <v>5769.722001779689</v>
      </c>
      <c r="D19" s="206">
        <f>'2 CARRILES HCM'!D19</f>
        <v>389.94366470100528</v>
      </c>
      <c r="E19" s="206">
        <f>'2 CARRILES HCM'!E19</f>
        <v>491.04017036422886</v>
      </c>
      <c r="F19" s="206">
        <f>'2 CARRILES HCM'!F19</f>
        <v>144.42357951889085</v>
      </c>
      <c r="G19" s="206">
        <f>'2 CARRILES HCM'!G19</f>
        <v>148.0341690068631</v>
      </c>
      <c r="H19" s="206">
        <f>'2 CARRILES HCM'!H19</f>
        <v>72.211789759445423</v>
      </c>
      <c r="I19" s="206">
        <f>'2 CARRILES HCM'!I19</f>
        <v>205.80360081441944</v>
      </c>
      <c r="J19" s="207">
        <f t="shared" si="0"/>
        <v>7221.1789759445419</v>
      </c>
      <c r="K19" s="35" t="e">
        <f t="shared" si="1"/>
        <v>#VALUE!</v>
      </c>
      <c r="L19" s="69" t="e">
        <f t="shared" si="2"/>
        <v>#VALUE!</v>
      </c>
    </row>
    <row r="20" spans="1:12" x14ac:dyDescent="0.25">
      <c r="A20" s="41">
        <v>2030</v>
      </c>
      <c r="B20" s="41">
        <v>17</v>
      </c>
      <c r="C20" s="206">
        <f>'2 CARRILES HCM'!C20</f>
        <v>5942.81366183308</v>
      </c>
      <c r="D20" s="206">
        <f>'2 CARRILES HCM'!D20</f>
        <v>401.64197464203539</v>
      </c>
      <c r="E20" s="206">
        <f>'2 CARRILES HCM'!E20</f>
        <v>505.77137547515571</v>
      </c>
      <c r="F20" s="206">
        <f>'2 CARRILES HCM'!F20</f>
        <v>148.75628690445757</v>
      </c>
      <c r="G20" s="206">
        <f>'2 CARRILES HCM'!G20</f>
        <v>152.47519407706901</v>
      </c>
      <c r="H20" s="206">
        <f>'2 CARRILES HCM'!H20</f>
        <v>74.378143452228784</v>
      </c>
      <c r="I20" s="206">
        <f>'2 CARRILES HCM'!I20</f>
        <v>211.97770883885204</v>
      </c>
      <c r="J20" s="207">
        <f t="shared" si="0"/>
        <v>7437.8143452228787</v>
      </c>
      <c r="K20" s="35" t="e">
        <f t="shared" si="1"/>
        <v>#VALUE!</v>
      </c>
      <c r="L20" s="69" t="e">
        <f t="shared" si="2"/>
        <v>#VALUE!</v>
      </c>
    </row>
    <row r="21" spans="1:12" x14ac:dyDescent="0.25">
      <c r="A21" s="41">
        <v>2031</v>
      </c>
      <c r="B21" s="41">
        <v>18</v>
      </c>
      <c r="C21" s="206">
        <f>'2 CARRILES HCM'!C21</f>
        <v>6121.0980716880722</v>
      </c>
      <c r="D21" s="206">
        <f>'2 CARRILES HCM'!D21</f>
        <v>413.69123388129651</v>
      </c>
      <c r="E21" s="206">
        <f>'2 CARRILES HCM'!E21</f>
        <v>520.94451673941035</v>
      </c>
      <c r="F21" s="206">
        <f>'2 CARRILES HCM'!F21</f>
        <v>153.21897551159128</v>
      </c>
      <c r="G21" s="206">
        <f>'2 CARRILES HCM'!G21</f>
        <v>157.04944989938107</v>
      </c>
      <c r="H21" s="206">
        <f>'2 CARRILES HCM'!H21</f>
        <v>76.609487755795641</v>
      </c>
      <c r="I21" s="206">
        <f>'2 CARRILES HCM'!I21</f>
        <v>218.3370401040176</v>
      </c>
      <c r="J21" s="207">
        <f t="shared" si="0"/>
        <v>7660.9487755795644</v>
      </c>
      <c r="K21" s="35" t="e">
        <f t="shared" si="1"/>
        <v>#VALUE!</v>
      </c>
      <c r="L21" s="69" t="e">
        <f t="shared" si="2"/>
        <v>#VALUE!</v>
      </c>
    </row>
    <row r="22" spans="1:12" x14ac:dyDescent="0.25">
      <c r="A22" s="41">
        <v>2032</v>
      </c>
      <c r="B22" s="41">
        <v>19</v>
      </c>
      <c r="C22" s="206">
        <f>'2 CARRILES HCM'!C22</f>
        <v>6304.7310138387138</v>
      </c>
      <c r="D22" s="206">
        <f>'2 CARRILES HCM'!D22</f>
        <v>426.10197089773538</v>
      </c>
      <c r="E22" s="206">
        <f>'2 CARRILES HCM'!E22</f>
        <v>536.57285224159273</v>
      </c>
      <c r="F22" s="206">
        <f>'2 CARRILES HCM'!F22</f>
        <v>157.81554477693902</v>
      </c>
      <c r="G22" s="206">
        <f>'2 CARRILES HCM'!G22</f>
        <v>161.7609333963625</v>
      </c>
      <c r="H22" s="206">
        <f>'2 CARRILES HCM'!H22</f>
        <v>78.90777238846951</v>
      </c>
      <c r="I22" s="206">
        <f>'2 CARRILES HCM'!I22</f>
        <v>224.88715130713811</v>
      </c>
      <c r="J22" s="207">
        <f t="shared" si="0"/>
        <v>7890.7772388469511</v>
      </c>
      <c r="K22" s="35" t="e">
        <f t="shared" si="1"/>
        <v>#VALUE!</v>
      </c>
      <c r="L22" s="69" t="e">
        <f t="shared" si="2"/>
        <v>#VALUE!</v>
      </c>
    </row>
    <row r="23" spans="1:12" x14ac:dyDescent="0.25">
      <c r="A23" s="41">
        <v>2033</v>
      </c>
      <c r="B23" s="41">
        <v>20</v>
      </c>
      <c r="C23" s="206">
        <f>'2 CARRILES HCM'!C23</f>
        <v>6493.8729442538752</v>
      </c>
      <c r="D23" s="206">
        <f>'2 CARRILES HCM'!D23</f>
        <v>438.8850300246674</v>
      </c>
      <c r="E23" s="206">
        <f>'2 CARRILES HCM'!E23</f>
        <v>552.67003780884045</v>
      </c>
      <c r="F23" s="206">
        <f>'2 CARRILES HCM'!F23</f>
        <v>162.55001112024721</v>
      </c>
      <c r="G23" s="206">
        <f>'2 CARRILES HCM'!G23</f>
        <v>166.61376139825336</v>
      </c>
      <c r="H23" s="206">
        <f>'2 CARRILES HCM'!H23</f>
        <v>81.275005560123603</v>
      </c>
      <c r="I23" s="206">
        <f>'2 CARRILES HCM'!I23</f>
        <v>231.63376584635225</v>
      </c>
      <c r="J23" s="207">
        <f t="shared" si="0"/>
        <v>8127.5005560123609</v>
      </c>
      <c r="K23" s="35" t="e">
        <f t="shared" si="1"/>
        <v>#VALUE!</v>
      </c>
      <c r="L23" s="69" t="e">
        <f t="shared" si="2"/>
        <v>#VALUE!</v>
      </c>
    </row>
    <row r="24" spans="1:12" x14ac:dyDescent="0.25">
      <c r="A24" s="41">
        <v>2034</v>
      </c>
      <c r="B24" s="41">
        <v>21</v>
      </c>
      <c r="C24" s="206">
        <f>'2 CARRILES HCM'!C24</f>
        <v>6688.6891325814904</v>
      </c>
      <c r="D24" s="206">
        <f>'2 CARRILES HCM'!D24</f>
        <v>452.05158092540739</v>
      </c>
      <c r="E24" s="206">
        <f>'2 CARRILES HCM'!E24</f>
        <v>569.25013894310564</v>
      </c>
      <c r="F24" s="206">
        <f>'2 CARRILES HCM'!F24</f>
        <v>167.42651145385457</v>
      </c>
      <c r="G24" s="206">
        <f>'2 CARRILES HCM'!G24</f>
        <v>171.61217424020094</v>
      </c>
      <c r="H24" s="206">
        <f>'2 CARRILES HCM'!H24</f>
        <v>83.713255726927287</v>
      </c>
      <c r="I24" s="206">
        <f>'2 CARRILES HCM'!I24</f>
        <v>238.58277882174278</v>
      </c>
      <c r="J24" s="207">
        <f t="shared" si="0"/>
        <v>8371.3255726927291</v>
      </c>
      <c r="K24" s="35" t="e">
        <f t="shared" si="1"/>
        <v>#VALUE!</v>
      </c>
      <c r="L24" s="69" t="e">
        <f t="shared" si="2"/>
        <v>#VALUE!</v>
      </c>
    </row>
    <row r="25" spans="1:12" x14ac:dyDescent="0.25">
      <c r="A25" s="41">
        <v>2035</v>
      </c>
      <c r="B25" s="41">
        <v>22</v>
      </c>
      <c r="C25" s="206">
        <f>'2 CARRILES HCM'!C25</f>
        <v>6889.3498065589365</v>
      </c>
      <c r="D25" s="206">
        <f>'2 CARRILES HCM'!D25</f>
        <v>465.61312835316966</v>
      </c>
      <c r="E25" s="206">
        <f>'2 CARRILES HCM'!E25</f>
        <v>586.32764311139886</v>
      </c>
      <c r="F25" s="206">
        <f>'2 CARRILES HCM'!F25</f>
        <v>172.44930679747023</v>
      </c>
      <c r="G25" s="206">
        <f>'2 CARRILES HCM'!G25</f>
        <v>176.760539467407</v>
      </c>
      <c r="H25" s="206">
        <f>'2 CARRILES HCM'!H25</f>
        <v>86.224653398735114</v>
      </c>
      <c r="I25" s="206">
        <f>'2 CARRILES HCM'!I25</f>
        <v>245.74026218639509</v>
      </c>
      <c r="J25" s="207">
        <f t="shared" si="0"/>
        <v>8622.4653398735118</v>
      </c>
      <c r="K25" s="35" t="e">
        <f t="shared" si="1"/>
        <v>#VALUE!</v>
      </c>
      <c r="L25" s="69" t="e">
        <f t="shared" si="2"/>
        <v>#VALUE!</v>
      </c>
    </row>
    <row r="26" spans="1:12" x14ac:dyDescent="0.25">
      <c r="A26" s="41">
        <v>2036</v>
      </c>
      <c r="B26" s="41">
        <v>23</v>
      </c>
      <c r="C26" s="206">
        <f>'2 CARRILES HCM'!C26</f>
        <v>7096.030300755705</v>
      </c>
      <c r="D26" s="206">
        <f>'2 CARRILES HCM'!D26</f>
        <v>479.58152220376479</v>
      </c>
      <c r="E26" s="206">
        <f>'2 CARRILES HCM'!E26</f>
        <v>603.91747240474081</v>
      </c>
      <c r="F26" s="206">
        <f>'2 CARRILES HCM'!F26</f>
        <v>177.62278600139436</v>
      </c>
      <c r="G26" s="206">
        <f>'2 CARRILES HCM'!G26</f>
        <v>182.06335565142922</v>
      </c>
      <c r="H26" s="206">
        <f>'2 CARRILES HCM'!H26</f>
        <v>88.81139300069718</v>
      </c>
      <c r="I26" s="206">
        <f>'2 CARRILES HCM'!I26</f>
        <v>253.11247005198697</v>
      </c>
      <c r="J26" s="207">
        <f t="shared" si="0"/>
        <v>8881.1393000697171</v>
      </c>
      <c r="K26" s="35" t="e">
        <f t="shared" si="1"/>
        <v>#VALUE!</v>
      </c>
      <c r="L26" s="69" t="e">
        <f t="shared" si="2"/>
        <v>#VALUE!</v>
      </c>
    </row>
    <row r="27" spans="1:12" x14ac:dyDescent="0.25">
      <c r="A27" s="41">
        <v>2037</v>
      </c>
      <c r="B27" s="41">
        <v>24</v>
      </c>
      <c r="C27" s="206">
        <f>'2 CARRILES HCM'!C27</f>
        <v>7308.9112097783745</v>
      </c>
      <c r="D27" s="206">
        <f>'2 CARRILES HCM'!D27</f>
        <v>493.96896786987764</v>
      </c>
      <c r="E27" s="206">
        <f>'2 CARRILES HCM'!E27</f>
        <v>622.03499657688292</v>
      </c>
      <c r="F27" s="206">
        <f>'2 CARRILES HCM'!F27</f>
        <v>182.95146958143616</v>
      </c>
      <c r="G27" s="206">
        <f>'2 CARRILES HCM'!G27</f>
        <v>187.52525632097206</v>
      </c>
      <c r="H27" s="206">
        <f>'2 CARRILES HCM'!H27</f>
        <v>91.475734790718079</v>
      </c>
      <c r="I27" s="206">
        <f>'2 CARRILES HCM'!I27</f>
        <v>260.70584415354654</v>
      </c>
      <c r="J27" s="207">
        <f t="shared" si="0"/>
        <v>9147.5734790718088</v>
      </c>
      <c r="K27" s="35" t="e">
        <f t="shared" si="1"/>
        <v>#VALUE!</v>
      </c>
      <c r="L27" s="69" t="e">
        <f t="shared" si="2"/>
        <v>#VALUE!</v>
      </c>
    </row>
    <row r="28" spans="1:12" x14ac:dyDescent="0.25">
      <c r="A28" s="41">
        <v>2038</v>
      </c>
      <c r="B28" s="41">
        <v>25</v>
      </c>
      <c r="C28" s="206">
        <f>'2 CARRILES HCM'!C28</f>
        <v>7528.1785460717256</v>
      </c>
      <c r="D28" s="206">
        <f>'2 CARRILES HCM'!D28</f>
        <v>508.78803690597397</v>
      </c>
      <c r="E28" s="206">
        <f>'2 CARRILES HCM'!E28</f>
        <v>640.69604647418942</v>
      </c>
      <c r="F28" s="206">
        <f>'2 CARRILES HCM'!F28</f>
        <v>188.44001366887923</v>
      </c>
      <c r="G28" s="206">
        <f>'2 CARRILES HCM'!G28</f>
        <v>193.15101401060122</v>
      </c>
      <c r="H28" s="206">
        <f>'2 CARRILES HCM'!H28</f>
        <v>94.220006834439616</v>
      </c>
      <c r="I28" s="206">
        <f>'2 CARRILES HCM'!I28</f>
        <v>268.52701947815291</v>
      </c>
      <c r="J28" s="207">
        <f t="shared" si="0"/>
        <v>9422.0006834439628</v>
      </c>
      <c r="K28" s="35" t="e">
        <f t="shared" si="1"/>
        <v>#VALUE!</v>
      </c>
      <c r="L28" s="69" t="e">
        <f t="shared" si="2"/>
        <v>#VALUE!</v>
      </c>
    </row>
    <row r="29" spans="1:12" x14ac:dyDescent="0.25">
      <c r="A29" s="41">
        <v>2039</v>
      </c>
      <c r="B29" s="41">
        <v>26</v>
      </c>
      <c r="C29" s="206">
        <f>'2 CARRILES HCM'!C29</f>
        <v>7754.0239024538787</v>
      </c>
      <c r="D29" s="206">
        <f>'2 CARRILES HCM'!D29</f>
        <v>524.05167801315326</v>
      </c>
      <c r="E29" s="206">
        <f>'2 CARRILES HCM'!E29</f>
        <v>659.9169278684152</v>
      </c>
      <c r="F29" s="206">
        <f>'2 CARRILES HCM'!F29</f>
        <v>194.09321407894566</v>
      </c>
      <c r="G29" s="206">
        <f>'2 CARRILES HCM'!G29</f>
        <v>198.94554443091928</v>
      </c>
      <c r="H29" s="206">
        <f>'2 CARRILES HCM'!H29</f>
        <v>97.046607039472832</v>
      </c>
      <c r="I29" s="206">
        <f>'2 CARRILES HCM'!I29</f>
        <v>276.58283006249758</v>
      </c>
      <c r="J29" s="207">
        <f t="shared" si="0"/>
        <v>9704.6607039472819</v>
      </c>
      <c r="K29" s="35" t="e">
        <f t="shared" si="1"/>
        <v>#VALUE!</v>
      </c>
      <c r="L29" s="69" t="e">
        <f t="shared" si="2"/>
        <v>#VALUE!</v>
      </c>
    </row>
    <row r="30" spans="1:12" x14ac:dyDescent="0.25">
      <c r="A30" s="41">
        <v>2040</v>
      </c>
      <c r="B30" s="41">
        <v>27</v>
      </c>
      <c r="C30" s="206">
        <f>'2 CARRILES HCM'!C30</f>
        <v>7986.6446195274939</v>
      </c>
      <c r="D30" s="206">
        <f>'2 CARRILES HCM'!D30</f>
        <v>539.77322835354778</v>
      </c>
      <c r="E30" s="206">
        <f>'2 CARRILES HCM'!E30</f>
        <v>679.71443570446763</v>
      </c>
      <c r="F30" s="206">
        <f>'2 CARRILES HCM'!F30</f>
        <v>199.91601050131399</v>
      </c>
      <c r="G30" s="206">
        <f>'2 CARRILES HCM'!G30</f>
        <v>204.91391076384684</v>
      </c>
      <c r="H30" s="206">
        <f>'2 CARRILES HCM'!H30</f>
        <v>99.958005250656996</v>
      </c>
      <c r="I30" s="206">
        <f>'2 CARRILES HCM'!I30</f>
        <v>284.88031496437242</v>
      </c>
      <c r="J30" s="207">
        <f t="shared" si="0"/>
        <v>9995.8005250656988</v>
      </c>
      <c r="K30" s="35" t="e">
        <f t="shared" si="1"/>
        <v>#VALUE!</v>
      </c>
      <c r="L30" s="69" t="e">
        <f t="shared" si="2"/>
        <v>#VALUE!</v>
      </c>
    </row>
    <row r="31" spans="1:12" x14ac:dyDescent="0.25">
      <c r="A31" s="41">
        <v>2041</v>
      </c>
      <c r="B31" s="41">
        <v>28</v>
      </c>
      <c r="C31" s="206">
        <f>'2 CARRILES HCM'!C31</f>
        <v>8226.2439581133185</v>
      </c>
      <c r="D31" s="206">
        <f>'2 CARRILES HCM'!D31</f>
        <v>555.96642520415423</v>
      </c>
      <c r="E31" s="206">
        <f>'2 CARRILES HCM'!E31</f>
        <v>700.10586877560161</v>
      </c>
      <c r="F31" s="206">
        <f>'2 CARRILES HCM'!F31</f>
        <v>205.91349081635343</v>
      </c>
      <c r="G31" s="206">
        <f>'2 CARRILES HCM'!G31</f>
        <v>211.06132808676224</v>
      </c>
      <c r="H31" s="206">
        <f>'2 CARRILES HCM'!H31</f>
        <v>102.95674540817672</v>
      </c>
      <c r="I31" s="206">
        <f>'2 CARRILES HCM'!I31</f>
        <v>293.42672441330365</v>
      </c>
      <c r="J31" s="207">
        <f t="shared" si="0"/>
        <v>10295.674540817672</v>
      </c>
      <c r="K31" s="35" t="e">
        <f t="shared" si="1"/>
        <v>#VALUE!</v>
      </c>
      <c r="L31" s="69" t="e">
        <f t="shared" si="2"/>
        <v>#VALUE!</v>
      </c>
    </row>
    <row r="32" spans="1:12" x14ac:dyDescent="0.25">
      <c r="A32" s="41">
        <v>2042</v>
      </c>
      <c r="B32" s="41">
        <v>29</v>
      </c>
      <c r="C32" s="206">
        <f>'2 CARRILES HCM'!C32</f>
        <v>8473.0312768567183</v>
      </c>
      <c r="D32" s="206">
        <f>'2 CARRILES HCM'!D32</f>
        <v>572.64541796027879</v>
      </c>
      <c r="E32" s="206">
        <f>'2 CARRILES HCM'!E32</f>
        <v>721.10904483886964</v>
      </c>
      <c r="F32" s="206">
        <f>'2 CARRILES HCM'!F32</f>
        <v>212.090895540844</v>
      </c>
      <c r="G32" s="206">
        <f>'2 CARRILES HCM'!G32</f>
        <v>217.39316792936509</v>
      </c>
      <c r="H32" s="206">
        <f>'2 CARRILES HCM'!H32</f>
        <v>106.045447770422</v>
      </c>
      <c r="I32" s="206">
        <f>'2 CARRILES HCM'!I32</f>
        <v>302.22952614570272</v>
      </c>
      <c r="J32" s="207">
        <f t="shared" si="0"/>
        <v>10604.5447770422</v>
      </c>
      <c r="K32" s="35" t="e">
        <f t="shared" si="1"/>
        <v>#VALUE!</v>
      </c>
      <c r="L32" s="69" t="e">
        <f t="shared" si="2"/>
        <v>#VALUE!</v>
      </c>
    </row>
    <row r="33" spans="1:12" x14ac:dyDescent="0.25">
      <c r="A33" s="41">
        <v>2043</v>
      </c>
      <c r="B33" s="41">
        <v>30</v>
      </c>
      <c r="C33" s="206">
        <f>'2 CARRILES HCM'!C33</f>
        <v>8727.2222151624192</v>
      </c>
      <c r="D33" s="206">
        <f>'2 CARRILES HCM'!D33</f>
        <v>589.82478049908718</v>
      </c>
      <c r="E33" s="206">
        <f>'2 CARRILES HCM'!E33</f>
        <v>742.74231618403564</v>
      </c>
      <c r="F33" s="206">
        <f>'2 CARRILES HCM'!F33</f>
        <v>218.45362240706933</v>
      </c>
      <c r="G33" s="206">
        <f>'2 CARRILES HCM'!G33</f>
        <v>223.91496296724605</v>
      </c>
      <c r="H33" s="206">
        <f>'2 CARRILES HCM'!H33</f>
        <v>109.22681120353467</v>
      </c>
      <c r="I33" s="206">
        <f>'2 CARRILES HCM'!I33</f>
        <v>311.29641193007376</v>
      </c>
      <c r="J33" s="207">
        <f t="shared" si="0"/>
        <v>10922.681120353467</v>
      </c>
      <c r="K33" s="35" t="e">
        <f t="shared" si="1"/>
        <v>#VALUE!</v>
      </c>
      <c r="L33" s="69" t="e">
        <f t="shared" si="2"/>
        <v>#VALUE!</v>
      </c>
    </row>
    <row r="34" spans="1:12" x14ac:dyDescent="0.25">
      <c r="A34" s="41">
        <v>2044</v>
      </c>
      <c r="B34" s="41">
        <v>31</v>
      </c>
      <c r="C34" s="206">
        <f>'2 CARRILES HCM'!C34</f>
        <v>8989.0388816172926</v>
      </c>
      <c r="D34" s="206">
        <f>'2 CARRILES HCM'!D34</f>
        <v>607.51952391405985</v>
      </c>
      <c r="E34" s="206">
        <f>'2 CARRILES HCM'!E34</f>
        <v>765.02458566955693</v>
      </c>
      <c r="F34" s="206">
        <f>'2 CARRILES HCM'!F34</f>
        <v>225.00723107928144</v>
      </c>
      <c r="G34" s="206">
        <f>'2 CARRILES HCM'!G34</f>
        <v>230.63241185626347</v>
      </c>
      <c r="H34" s="206">
        <f>'2 CARRILES HCM'!H34</f>
        <v>112.50361553964072</v>
      </c>
      <c r="I34" s="206">
        <f>'2 CARRILES HCM'!I34</f>
        <v>320.63530428797606</v>
      </c>
      <c r="J34" s="207">
        <f>SUM(C34:I34)</f>
        <v>11250.361553964072</v>
      </c>
      <c r="K34" s="35" t="e">
        <f>F357</f>
        <v>#VALUE!</v>
      </c>
      <c r="L34" s="69" t="e">
        <f>M357</f>
        <v>#VALUE!</v>
      </c>
    </row>
    <row r="35" spans="1:12" ht="15.75" thickBot="1" x14ac:dyDescent="0.3">
      <c r="A35" s="41">
        <v>2045</v>
      </c>
      <c r="B35" s="41">
        <v>32</v>
      </c>
      <c r="C35" s="206">
        <f>'2 CARRILES HCM'!C35</f>
        <v>9258.71004806581</v>
      </c>
      <c r="D35" s="206">
        <f>'2 CARRILES HCM'!D35</f>
        <v>625.74510963148157</v>
      </c>
      <c r="E35" s="206">
        <f>'2 CARRILES HCM'!E35</f>
        <v>787.97532323964344</v>
      </c>
      <c r="F35" s="206">
        <f>'2 CARRILES HCM'!F35</f>
        <v>231.75744801165985</v>
      </c>
      <c r="G35" s="206">
        <f>'2 CARRILES HCM'!G35</f>
        <v>237.55138421195133</v>
      </c>
      <c r="H35" s="206">
        <f>'2 CARRILES HCM'!H35</f>
        <v>115.87872400582992</v>
      </c>
      <c r="I35" s="206">
        <f>'2 CARRILES HCM'!I35</f>
        <v>330.25436341661526</v>
      </c>
      <c r="J35" s="207">
        <f>SUM(C35:I35)</f>
        <v>11587.872400582992</v>
      </c>
      <c r="K35" s="35" t="e">
        <f>F358</f>
        <v>#VALUE!</v>
      </c>
      <c r="L35" s="69" t="e">
        <f>M358</f>
        <v>#VALUE!</v>
      </c>
    </row>
    <row r="36" spans="1:12" ht="15.75" thickBot="1" x14ac:dyDescent="0.3">
      <c r="A36" s="70"/>
      <c r="B36" s="71" t="s">
        <v>54</v>
      </c>
      <c r="C36" s="297">
        <f>'2 CARRILES HCM'!C36</f>
        <v>0.03</v>
      </c>
      <c r="D36" s="297">
        <f>'2 CARRILES HCM'!D36</f>
        <v>0.03</v>
      </c>
      <c r="E36" s="297">
        <f>'2 CARRILES HCM'!E36</f>
        <v>0.03</v>
      </c>
      <c r="F36" s="297">
        <f>'2 CARRILES HCM'!F36</f>
        <v>0.03</v>
      </c>
      <c r="G36" s="297">
        <f>'2 CARRILES HCM'!G36</f>
        <v>0.03</v>
      </c>
      <c r="H36" s="297">
        <f>'2 CARRILES HCM'!H36</f>
        <v>0.03</v>
      </c>
      <c r="I36" s="297">
        <f>'2 CARRILES HCM'!I36</f>
        <v>0.03</v>
      </c>
      <c r="J36" s="208">
        <f>SUM(C36:I36)/7</f>
        <v>0.03</v>
      </c>
    </row>
    <row r="37" spans="1:12" x14ac:dyDescent="0.25">
      <c r="A37" s="70"/>
      <c r="B37" s="115"/>
      <c r="C37" s="209"/>
      <c r="D37" s="209"/>
      <c r="E37" s="209"/>
      <c r="F37" s="209"/>
      <c r="G37" s="209"/>
      <c r="H37" s="209"/>
      <c r="I37" s="209"/>
      <c r="J37" s="210"/>
    </row>
    <row r="38" spans="1:12" x14ac:dyDescent="0.25">
      <c r="A38" s="74" t="s">
        <v>55</v>
      </c>
      <c r="B38" s="74"/>
      <c r="C38" s="74"/>
    </row>
    <row r="39" spans="1:12" x14ac:dyDescent="0.25">
      <c r="A39" s="68" t="s">
        <v>18</v>
      </c>
      <c r="B39" s="68" t="s">
        <v>45</v>
      </c>
      <c r="C39" s="41" t="s">
        <v>46</v>
      </c>
      <c r="D39" s="41" t="s">
        <v>47</v>
      </c>
      <c r="E39" s="41" t="s">
        <v>48</v>
      </c>
      <c r="F39" s="41" t="s">
        <v>49</v>
      </c>
      <c r="G39" s="41" t="s">
        <v>50</v>
      </c>
      <c r="H39" s="41" t="s">
        <v>51</v>
      </c>
      <c r="I39" s="41" t="s">
        <v>52</v>
      </c>
      <c r="J39" s="41" t="s">
        <v>53</v>
      </c>
      <c r="K39" s="35" t="str">
        <f>F360</f>
        <v>NS</v>
      </c>
      <c r="L39" s="35" t="str">
        <f>G360</f>
        <v>VEL1</v>
      </c>
    </row>
    <row r="40" spans="1:12" x14ac:dyDescent="0.25">
      <c r="A40" s="41">
        <v>2013</v>
      </c>
      <c r="B40" s="41">
        <v>0</v>
      </c>
      <c r="C40" s="206">
        <f>'2 CARRILES HCM'!C40</f>
        <v>3595.5</v>
      </c>
      <c r="D40" s="206">
        <f>'2 CARRILES HCM'!D40</f>
        <v>243</v>
      </c>
      <c r="E40" s="206">
        <f>'2 CARRILES HCM'!E40</f>
        <v>306</v>
      </c>
      <c r="F40" s="206">
        <f>'2 CARRILES HCM'!F40</f>
        <v>90</v>
      </c>
      <c r="G40" s="206">
        <f>'2 CARRILES HCM'!G40</f>
        <v>92.25</v>
      </c>
      <c r="H40" s="206">
        <f>'2 CARRILES HCM'!H40</f>
        <v>45</v>
      </c>
      <c r="I40" s="206">
        <f>'2 CARRILES HCM'!I40</f>
        <v>128.25</v>
      </c>
      <c r="J40" s="207">
        <f t="shared" ref="J40:J70" si="3">SUM(C40:I40)</f>
        <v>4500</v>
      </c>
      <c r="K40" s="35" t="str">
        <f t="shared" ref="K40:K72" si="4">F361</f>
        <v>A</v>
      </c>
      <c r="L40" s="69">
        <f>M361</f>
        <v>104.32770689349636</v>
      </c>
    </row>
    <row r="41" spans="1:12" x14ac:dyDescent="0.25">
      <c r="A41" s="41">
        <v>2014</v>
      </c>
      <c r="B41" s="41">
        <v>1</v>
      </c>
      <c r="C41" s="206">
        <f>'2 CARRILES HCM'!C41</f>
        <v>3703.3650000000002</v>
      </c>
      <c r="D41" s="206">
        <f>'2 CARRILES HCM'!D41</f>
        <v>250.29000000000002</v>
      </c>
      <c r="E41" s="206">
        <f>'2 CARRILES HCM'!E41</f>
        <v>315.18</v>
      </c>
      <c r="F41" s="206">
        <f>'2 CARRILES HCM'!F41</f>
        <v>92.7</v>
      </c>
      <c r="G41" s="206">
        <f>'2 CARRILES HCM'!G41</f>
        <v>95.017499999999998</v>
      </c>
      <c r="H41" s="206">
        <f>'2 CARRILES HCM'!H41</f>
        <v>46.35</v>
      </c>
      <c r="I41" s="206">
        <f>'2 CARRILES HCM'!I41</f>
        <v>132.0975</v>
      </c>
      <c r="J41" s="207">
        <f t="shared" si="3"/>
        <v>4635</v>
      </c>
      <c r="K41" s="35" t="str">
        <f t="shared" si="4"/>
        <v>A</v>
      </c>
      <c r="L41" s="69">
        <f t="shared" ref="L41:L70" si="5">M362</f>
        <v>104.00753810030125</v>
      </c>
    </row>
    <row r="42" spans="1:12" x14ac:dyDescent="0.25">
      <c r="A42" s="41">
        <v>2015</v>
      </c>
      <c r="B42" s="41">
        <v>2</v>
      </c>
      <c r="C42" s="206">
        <f>'2 CARRILES HCM'!C42</f>
        <v>3814.4659499999998</v>
      </c>
      <c r="D42" s="206">
        <f>'2 CARRILES HCM'!D42</f>
        <v>257.7987</v>
      </c>
      <c r="E42" s="206">
        <f>'2 CARRILES HCM'!E42</f>
        <v>324.6354</v>
      </c>
      <c r="F42" s="206">
        <f>'2 CARRILES HCM'!F42</f>
        <v>95.480999999999995</v>
      </c>
      <c r="G42" s="206">
        <f>'2 CARRILES HCM'!G42</f>
        <v>97.868024999999989</v>
      </c>
      <c r="H42" s="206">
        <f>'2 CARRILES HCM'!H42</f>
        <v>47.740499999999997</v>
      </c>
      <c r="I42" s="206">
        <f>'2 CARRILES HCM'!I42</f>
        <v>136.06042499999998</v>
      </c>
      <c r="J42" s="207">
        <f t="shared" si="3"/>
        <v>4774.0499999999984</v>
      </c>
      <c r="K42" s="35" t="str">
        <f t="shared" si="4"/>
        <v>A</v>
      </c>
      <c r="L42" s="69">
        <f t="shared" si="5"/>
        <v>103.67776424331029</v>
      </c>
    </row>
    <row r="43" spans="1:12" x14ac:dyDescent="0.25">
      <c r="A43" s="41">
        <v>2016</v>
      </c>
      <c r="B43" s="41">
        <v>3</v>
      </c>
      <c r="C43" s="206">
        <f>'2 CARRILES HCM'!C43</f>
        <v>3928.8999285</v>
      </c>
      <c r="D43" s="206">
        <f>'2 CARRILES HCM'!D43</f>
        <v>265.53266100000002</v>
      </c>
      <c r="E43" s="206">
        <f>'2 CARRILES HCM'!E43</f>
        <v>334.37446199999999</v>
      </c>
      <c r="F43" s="206">
        <f>'2 CARRILES HCM'!F43</f>
        <v>98.345429999999993</v>
      </c>
      <c r="G43" s="206">
        <f>'2 CARRILES HCM'!G43</f>
        <v>100.80406575000001</v>
      </c>
      <c r="H43" s="206">
        <f>'2 CARRILES HCM'!H43</f>
        <v>49.172714999999997</v>
      </c>
      <c r="I43" s="206">
        <f>'2 CARRILES HCM'!I43</f>
        <v>140.14223774999999</v>
      </c>
      <c r="J43" s="207">
        <f t="shared" si="3"/>
        <v>4917.2714999999998</v>
      </c>
      <c r="K43" s="35" t="str">
        <f t="shared" si="4"/>
        <v>A</v>
      </c>
      <c r="L43" s="69">
        <f t="shared" si="5"/>
        <v>103.46624994895456</v>
      </c>
    </row>
    <row r="44" spans="1:12" x14ac:dyDescent="0.25">
      <c r="A44" s="41">
        <v>2017</v>
      </c>
      <c r="B44" s="41">
        <v>4</v>
      </c>
      <c r="C44" s="206">
        <f>'2 CARRILES HCM'!C44</f>
        <v>4046.7669263549997</v>
      </c>
      <c r="D44" s="206">
        <f>'2 CARRILES HCM'!D44</f>
        <v>273.49864083</v>
      </c>
      <c r="E44" s="206">
        <f>'2 CARRILES HCM'!E44</f>
        <v>344.40569585999998</v>
      </c>
      <c r="F44" s="206">
        <f>'2 CARRILES HCM'!F44</f>
        <v>101.2957929</v>
      </c>
      <c r="G44" s="206">
        <f>'2 CARRILES HCM'!G44</f>
        <v>103.82818772249999</v>
      </c>
      <c r="H44" s="206">
        <f>'2 CARRILES HCM'!H44</f>
        <v>50.647896449999998</v>
      </c>
      <c r="I44" s="206">
        <f>'2 CARRILES HCM'!I44</f>
        <v>144.3465048825</v>
      </c>
      <c r="J44" s="207">
        <f t="shared" si="3"/>
        <v>5064.7896450000007</v>
      </c>
      <c r="K44" s="35" t="str">
        <f t="shared" si="4"/>
        <v>A</v>
      </c>
      <c r="L44" s="69">
        <f t="shared" si="5"/>
        <v>103.12023744742318</v>
      </c>
    </row>
    <row r="45" spans="1:12" x14ac:dyDescent="0.25">
      <c r="A45" s="41">
        <v>2018</v>
      </c>
      <c r="B45" s="41">
        <v>5</v>
      </c>
      <c r="C45" s="206">
        <f>'2 CARRILES HCM'!C45</f>
        <v>4168.1699341456497</v>
      </c>
      <c r="D45" s="206">
        <f>'2 CARRILES HCM'!D45</f>
        <v>281.70360005489994</v>
      </c>
      <c r="E45" s="206">
        <f>'2 CARRILES HCM'!E45</f>
        <v>354.73786673579997</v>
      </c>
      <c r="F45" s="206">
        <f>'2 CARRILES HCM'!F45</f>
        <v>104.33466668699998</v>
      </c>
      <c r="G45" s="206">
        <f>'2 CARRILES HCM'!G45</f>
        <v>106.94303335417499</v>
      </c>
      <c r="H45" s="206">
        <f>'2 CARRILES HCM'!H45</f>
        <v>52.16733334349999</v>
      </c>
      <c r="I45" s="206">
        <f>'2 CARRILES HCM'!I45</f>
        <v>148.67690002897498</v>
      </c>
      <c r="J45" s="207">
        <f t="shared" si="3"/>
        <v>5216.7333343499995</v>
      </c>
      <c r="K45" s="35" t="str">
        <f t="shared" si="4"/>
        <v>A</v>
      </c>
      <c r="L45" s="69">
        <f t="shared" si="5"/>
        <v>102.76384457084589</v>
      </c>
    </row>
    <row r="46" spans="1:12" x14ac:dyDescent="0.25">
      <c r="A46" s="41">
        <v>2019</v>
      </c>
      <c r="B46" s="41">
        <v>6</v>
      </c>
      <c r="C46" s="206">
        <f>'2 CARRILES HCM'!C46</f>
        <v>4293.2150321700192</v>
      </c>
      <c r="D46" s="206">
        <f>'2 CARRILES HCM'!D46</f>
        <v>290.15470805654695</v>
      </c>
      <c r="E46" s="206">
        <f>'2 CARRILES HCM'!E46</f>
        <v>365.38000273787395</v>
      </c>
      <c r="F46" s="206">
        <f>'2 CARRILES HCM'!F46</f>
        <v>107.46470668760999</v>
      </c>
      <c r="G46" s="206">
        <f>'2 CARRILES HCM'!G46</f>
        <v>110.15132435480024</v>
      </c>
      <c r="H46" s="206">
        <f>'2 CARRILES HCM'!H46</f>
        <v>53.732353343804995</v>
      </c>
      <c r="I46" s="206">
        <f>'2 CARRILES HCM'!I46</f>
        <v>153.13720702984423</v>
      </c>
      <c r="J46" s="207">
        <f t="shared" si="3"/>
        <v>5373.2353343804989</v>
      </c>
      <c r="K46" s="35" t="str">
        <f t="shared" si="4"/>
        <v>A</v>
      </c>
      <c r="L46" s="69">
        <f t="shared" si="5"/>
        <v>102.39675990797126</v>
      </c>
    </row>
    <row r="47" spans="1:12" x14ac:dyDescent="0.25">
      <c r="A47" s="41">
        <v>2020</v>
      </c>
      <c r="B47" s="41">
        <v>7</v>
      </c>
      <c r="C47" s="206">
        <f>'2 CARRILES HCM'!C47</f>
        <v>4422.0114831351202</v>
      </c>
      <c r="D47" s="206">
        <f>'2 CARRILES HCM'!D47</f>
        <v>298.85934929824339</v>
      </c>
      <c r="E47" s="206">
        <f>'2 CARRILES HCM'!E47</f>
        <v>376.34140282001022</v>
      </c>
      <c r="F47" s="206">
        <f>'2 CARRILES HCM'!F47</f>
        <v>110.68864788823829</v>
      </c>
      <c r="G47" s="206">
        <f>'2 CARRILES HCM'!G47</f>
        <v>113.45586408544426</v>
      </c>
      <c r="H47" s="206">
        <f>'2 CARRILES HCM'!H47</f>
        <v>55.344323944119147</v>
      </c>
      <c r="I47" s="206">
        <f>'2 CARRILES HCM'!I47</f>
        <v>157.73132324073958</v>
      </c>
      <c r="J47" s="207">
        <f t="shared" si="3"/>
        <v>5534.4323944119151</v>
      </c>
      <c r="K47" s="35" t="str">
        <f t="shared" si="4"/>
        <v>A</v>
      </c>
      <c r="L47" s="69">
        <f t="shared" si="5"/>
        <v>102.0186627052104</v>
      </c>
    </row>
    <row r="48" spans="1:12" x14ac:dyDescent="0.25">
      <c r="A48" s="41">
        <v>2021</v>
      </c>
      <c r="B48" s="41">
        <v>8</v>
      </c>
      <c r="C48" s="206">
        <f>'2 CARRILES HCM'!C48</f>
        <v>4554.6718276291731</v>
      </c>
      <c r="D48" s="206">
        <f>'2 CARRILES HCM'!D48</f>
        <v>307.82512977719068</v>
      </c>
      <c r="E48" s="206">
        <f>'2 CARRILES HCM'!E48</f>
        <v>387.63164490461048</v>
      </c>
      <c r="F48" s="206">
        <f>'2 CARRILES HCM'!F48</f>
        <v>114.00930732488544</v>
      </c>
      <c r="G48" s="206">
        <f>'2 CARRILES HCM'!G48</f>
        <v>116.85954000800757</v>
      </c>
      <c r="H48" s="206">
        <f>'2 CARRILES HCM'!H48</f>
        <v>57.00465366244272</v>
      </c>
      <c r="I48" s="206">
        <f>'2 CARRILES HCM'!I48</f>
        <v>162.46326293796173</v>
      </c>
      <c r="J48" s="207">
        <f t="shared" si="3"/>
        <v>5700.4653662442724</v>
      </c>
      <c r="K48" s="35" t="str">
        <f t="shared" si="4"/>
        <v>A</v>
      </c>
      <c r="L48" s="69">
        <f t="shared" si="5"/>
        <v>101.62922258636671</v>
      </c>
    </row>
    <row r="49" spans="1:12" x14ac:dyDescent="0.25">
      <c r="A49" s="41">
        <v>2022</v>
      </c>
      <c r="B49" s="41">
        <v>9</v>
      </c>
      <c r="C49" s="206">
        <f>'2 CARRILES HCM'!C49</f>
        <v>4691.3119824580481</v>
      </c>
      <c r="D49" s="206">
        <f>'2 CARRILES HCM'!D49</f>
        <v>317.05988367050639</v>
      </c>
      <c r="E49" s="206">
        <f>'2 CARRILES HCM'!E49</f>
        <v>399.26059425174878</v>
      </c>
      <c r="F49" s="206">
        <f>'2 CARRILES HCM'!F49</f>
        <v>117.429586544632</v>
      </c>
      <c r="G49" s="206">
        <f>'2 CARRILES HCM'!G49</f>
        <v>120.36532620824781</v>
      </c>
      <c r="H49" s="206">
        <f>'2 CARRILES HCM'!H49</f>
        <v>58.714793272316001</v>
      </c>
      <c r="I49" s="206">
        <f>'2 CARRILES HCM'!I49</f>
        <v>167.33716082610061</v>
      </c>
      <c r="J49" s="207">
        <f t="shared" si="3"/>
        <v>5871.4793272316001</v>
      </c>
      <c r="K49" s="35" t="str">
        <f t="shared" si="4"/>
        <v>A</v>
      </c>
      <c r="L49" s="69">
        <f t="shared" si="5"/>
        <v>101.22809926395772</v>
      </c>
    </row>
    <row r="50" spans="1:12" x14ac:dyDescent="0.25">
      <c r="A50" s="41">
        <v>2023</v>
      </c>
      <c r="B50" s="41">
        <v>10</v>
      </c>
      <c r="C50" s="206">
        <f>'2 CARRILES HCM'!C50</f>
        <v>4832.0513419317895</v>
      </c>
      <c r="D50" s="206">
        <f>'2 CARRILES HCM'!D50</f>
        <v>326.57168018062157</v>
      </c>
      <c r="E50" s="206">
        <f>'2 CARRILES HCM'!E50</f>
        <v>411.23841207930127</v>
      </c>
      <c r="F50" s="206">
        <f>'2 CARRILES HCM'!F50</f>
        <v>120.95247414097096</v>
      </c>
      <c r="G50" s="206">
        <f>'2 CARRILES HCM'!G50</f>
        <v>123.97628599449523</v>
      </c>
      <c r="H50" s="206">
        <f>'2 CARRILES HCM'!H50</f>
        <v>60.476237070485482</v>
      </c>
      <c r="I50" s="206">
        <f>'2 CARRILES HCM'!I50</f>
        <v>172.35727565088362</v>
      </c>
      <c r="J50" s="207">
        <f t="shared" si="3"/>
        <v>6047.6237070485486</v>
      </c>
      <c r="K50" s="35" t="str">
        <f t="shared" si="4"/>
        <v>A</v>
      </c>
      <c r="L50" s="69">
        <f t="shared" si="5"/>
        <v>100.81494224187644</v>
      </c>
    </row>
    <row r="51" spans="1:12" x14ac:dyDescent="0.25">
      <c r="A51" s="41">
        <v>2024</v>
      </c>
      <c r="B51" s="41">
        <v>11</v>
      </c>
      <c r="C51" s="206">
        <f>'2 CARRILES HCM'!C51</f>
        <v>4977.0128821897433</v>
      </c>
      <c r="D51" s="206">
        <f>'2 CARRILES HCM'!D51</f>
        <v>336.36883058604025</v>
      </c>
      <c r="E51" s="206">
        <f>'2 CARRILES HCM'!E51</f>
        <v>423.57556444168034</v>
      </c>
      <c r="F51" s="206">
        <f>'2 CARRILES HCM'!F51</f>
        <v>124.58104836520009</v>
      </c>
      <c r="G51" s="206">
        <f>'2 CARRILES HCM'!G51</f>
        <v>127.6955745743301</v>
      </c>
      <c r="H51" s="206">
        <f>'2 CARRILES HCM'!H51</f>
        <v>62.290524182600045</v>
      </c>
      <c r="I51" s="206">
        <f>'2 CARRILES HCM'!I51</f>
        <v>177.52799392041013</v>
      </c>
      <c r="J51" s="207">
        <f t="shared" si="3"/>
        <v>6229.0524182600047</v>
      </c>
      <c r="K51" s="35" t="str">
        <f t="shared" si="4"/>
        <v>A</v>
      </c>
      <c r="L51" s="69">
        <f t="shared" si="5"/>
        <v>100.38939050913274</v>
      </c>
    </row>
    <row r="52" spans="1:12" x14ac:dyDescent="0.25">
      <c r="A52" s="41">
        <v>2025</v>
      </c>
      <c r="B52" s="41">
        <v>12</v>
      </c>
      <c r="C52" s="206">
        <f>'2 CARRILES HCM'!C52</f>
        <v>5126.3232686554356</v>
      </c>
      <c r="D52" s="206">
        <f>'2 CARRILES HCM'!D52</f>
        <v>346.4598955036214</v>
      </c>
      <c r="E52" s="206">
        <f>'2 CARRILES HCM'!E52</f>
        <v>436.28283137493065</v>
      </c>
      <c r="F52" s="206">
        <f>'2 CARRILES HCM'!F52</f>
        <v>128.31847981615607</v>
      </c>
      <c r="G52" s="206">
        <f>'2 CARRILES HCM'!G52</f>
        <v>131.52644181155998</v>
      </c>
      <c r="H52" s="206">
        <f>'2 CARRILES HCM'!H52</f>
        <v>64.159239908078035</v>
      </c>
      <c r="I52" s="206">
        <f>'2 CARRILES HCM'!I52</f>
        <v>182.85383373802242</v>
      </c>
      <c r="J52" s="207">
        <f t="shared" si="3"/>
        <v>6415.9239908078052</v>
      </c>
      <c r="K52" s="35" t="str">
        <f t="shared" si="4"/>
        <v>A</v>
      </c>
      <c r="L52" s="69">
        <f t="shared" si="5"/>
        <v>99.951072224406715</v>
      </c>
    </row>
    <row r="53" spans="1:12" x14ac:dyDescent="0.25">
      <c r="A53" s="41">
        <v>2026</v>
      </c>
      <c r="B53" s="41">
        <v>13</v>
      </c>
      <c r="C53" s="206">
        <f>'2 CARRILES HCM'!C53</f>
        <v>5280.1129667150981</v>
      </c>
      <c r="D53" s="206">
        <f>'2 CARRILES HCM'!D53</f>
        <v>356.85369236873004</v>
      </c>
      <c r="E53" s="206">
        <f>'2 CARRILES HCM'!E53</f>
        <v>449.37131631617854</v>
      </c>
      <c r="F53" s="206">
        <f>'2 CARRILES HCM'!F53</f>
        <v>132.16803421064074</v>
      </c>
      <c r="G53" s="206">
        <f>'2 CARRILES HCM'!G53</f>
        <v>135.47223506590677</v>
      </c>
      <c r="H53" s="206">
        <f>'2 CARRILES HCM'!H53</f>
        <v>66.08401710532037</v>
      </c>
      <c r="I53" s="206">
        <f>'2 CARRILES HCM'!I53</f>
        <v>188.33944875016309</v>
      </c>
      <c r="J53" s="207">
        <f t="shared" si="3"/>
        <v>6608.4017105320372</v>
      </c>
      <c r="K53" s="35" t="str">
        <f t="shared" si="4"/>
        <v>A</v>
      </c>
      <c r="L53" s="69">
        <f t="shared" si="5"/>
        <v>99.499604391138917</v>
      </c>
    </row>
    <row r="54" spans="1:12" x14ac:dyDescent="0.25">
      <c r="A54" s="41">
        <v>2027</v>
      </c>
      <c r="B54" s="41">
        <v>14</v>
      </c>
      <c r="C54" s="206">
        <f>'2 CARRILES HCM'!C54</f>
        <v>5438.5163557165515</v>
      </c>
      <c r="D54" s="206">
        <f>'2 CARRILES HCM'!D54</f>
        <v>367.55930313979195</v>
      </c>
      <c r="E54" s="206">
        <f>'2 CARRILES HCM'!E54</f>
        <v>462.85245580566396</v>
      </c>
      <c r="F54" s="206">
        <f>'2 CARRILES HCM'!F54</f>
        <v>136.13307523696</v>
      </c>
      <c r="G54" s="206">
        <f>'2 CARRILES HCM'!G54</f>
        <v>139.53640211788399</v>
      </c>
      <c r="H54" s="206">
        <f>'2 CARRILES HCM'!H54</f>
        <v>68.066537618479998</v>
      </c>
      <c r="I54" s="206">
        <f>'2 CARRILES HCM'!I54</f>
        <v>193.989632212668</v>
      </c>
      <c r="J54" s="207">
        <f t="shared" si="3"/>
        <v>6806.6537618479997</v>
      </c>
      <c r="K54" s="35" t="str">
        <f t="shared" si="4"/>
        <v>A</v>
      </c>
      <c r="L54" s="69">
        <f t="shared" si="5"/>
        <v>99.034592522873083</v>
      </c>
    </row>
    <row r="55" spans="1:12" x14ac:dyDescent="0.25">
      <c r="A55" s="41">
        <v>2028</v>
      </c>
      <c r="B55" s="41">
        <v>15</v>
      </c>
      <c r="C55" s="206">
        <f>'2 CARRILES HCM'!C55</f>
        <v>5601.6718463880488</v>
      </c>
      <c r="D55" s="206">
        <f>'2 CARRILES HCM'!D55</f>
        <v>378.58608223398574</v>
      </c>
      <c r="E55" s="206">
        <f>'2 CARRILES HCM'!E55</f>
        <v>476.73802947983393</v>
      </c>
      <c r="F55" s="206">
        <f>'2 CARRILES HCM'!F55</f>
        <v>140.2170674940688</v>
      </c>
      <c r="G55" s="206">
        <f>'2 CARRILES HCM'!G55</f>
        <v>143.72249418142053</v>
      </c>
      <c r="H55" s="206">
        <f>'2 CARRILES HCM'!H55</f>
        <v>70.1085337470344</v>
      </c>
      <c r="I55" s="206">
        <f>'2 CARRILES HCM'!I55</f>
        <v>199.80932117904803</v>
      </c>
      <c r="J55" s="207">
        <f t="shared" si="3"/>
        <v>7010.8533747034398</v>
      </c>
      <c r="K55" s="35" t="str">
        <f t="shared" si="4"/>
        <v>A</v>
      </c>
      <c r="L55" s="69">
        <f t="shared" si="5"/>
        <v>98.555630298559279</v>
      </c>
    </row>
    <row r="56" spans="1:12" x14ac:dyDescent="0.25">
      <c r="A56" s="41">
        <v>2029</v>
      </c>
      <c r="B56" s="41">
        <v>16</v>
      </c>
      <c r="C56" s="206">
        <f>'2 CARRILES HCM'!C56</f>
        <v>5769.722001779689</v>
      </c>
      <c r="D56" s="206">
        <f>'2 CARRILES HCM'!D56</f>
        <v>389.94366470100528</v>
      </c>
      <c r="E56" s="206">
        <f>'2 CARRILES HCM'!E56</f>
        <v>491.04017036422886</v>
      </c>
      <c r="F56" s="206">
        <f>'2 CARRILES HCM'!F56</f>
        <v>144.42357951889085</v>
      </c>
      <c r="G56" s="206">
        <f>'2 CARRILES HCM'!G56</f>
        <v>148.0341690068631</v>
      </c>
      <c r="H56" s="206">
        <f>'2 CARRILES HCM'!H56</f>
        <v>72.211789759445423</v>
      </c>
      <c r="I56" s="206">
        <f>'2 CARRILES HCM'!I56</f>
        <v>205.80360081441944</v>
      </c>
      <c r="J56" s="207">
        <f t="shared" si="3"/>
        <v>7221.1789759445419</v>
      </c>
      <c r="K56" s="35" t="str">
        <f t="shared" si="4"/>
        <v>A</v>
      </c>
      <c r="L56" s="69">
        <f t="shared" si="5"/>
        <v>98.246404650912623</v>
      </c>
    </row>
    <row r="57" spans="1:12" x14ac:dyDescent="0.25">
      <c r="A57" s="41">
        <v>2030</v>
      </c>
      <c r="B57" s="41">
        <v>17</v>
      </c>
      <c r="C57" s="206">
        <f>'2 CARRILES HCM'!C57</f>
        <v>5942.81366183308</v>
      </c>
      <c r="D57" s="206">
        <f>'2 CARRILES HCM'!D57</f>
        <v>401.64197464203539</v>
      </c>
      <c r="E57" s="206">
        <f>'2 CARRILES HCM'!E57</f>
        <v>505.77137547515571</v>
      </c>
      <c r="F57" s="206">
        <f>'2 CARRILES HCM'!F57</f>
        <v>148.75628690445757</v>
      </c>
      <c r="G57" s="206">
        <f>'2 CARRILES HCM'!G57</f>
        <v>152.47519407706901</v>
      </c>
      <c r="H57" s="206">
        <f>'2 CARRILES HCM'!H57</f>
        <v>74.378143452228784</v>
      </c>
      <c r="I57" s="206">
        <f>'2 CARRILES HCM'!I57</f>
        <v>211.97770883885204</v>
      </c>
      <c r="J57" s="207">
        <f t="shared" si="3"/>
        <v>7437.8143452228787</v>
      </c>
      <c r="K57" s="35" t="str">
        <f t="shared" si="4"/>
        <v>A</v>
      </c>
      <c r="L57" s="69">
        <f t="shared" si="5"/>
        <v>97.743796790440001</v>
      </c>
    </row>
    <row r="58" spans="1:12" x14ac:dyDescent="0.25">
      <c r="A58" s="41">
        <v>2031</v>
      </c>
      <c r="B58" s="41">
        <v>18</v>
      </c>
      <c r="C58" s="206">
        <f>'2 CARRILES HCM'!C58</f>
        <v>6121.0980716880722</v>
      </c>
      <c r="D58" s="206">
        <f>'2 CARRILES HCM'!D58</f>
        <v>413.69123388129651</v>
      </c>
      <c r="E58" s="206">
        <f>'2 CARRILES HCM'!E58</f>
        <v>520.94451673941035</v>
      </c>
      <c r="F58" s="206">
        <f>'2 CARRILES HCM'!F58</f>
        <v>153.21897551159128</v>
      </c>
      <c r="G58" s="206">
        <f>'2 CARRILES HCM'!G58</f>
        <v>157.04944989938107</v>
      </c>
      <c r="H58" s="206">
        <f>'2 CARRILES HCM'!H58</f>
        <v>76.609487755795641</v>
      </c>
      <c r="I58" s="206">
        <f>'2 CARRILES HCM'!I58</f>
        <v>218.3370401040176</v>
      </c>
      <c r="J58" s="207">
        <f t="shared" si="3"/>
        <v>7660.9487755795644</v>
      </c>
      <c r="K58" s="35" t="str">
        <f t="shared" si="4"/>
        <v>A</v>
      </c>
      <c r="L58" s="69">
        <f t="shared" si="5"/>
        <v>97.226110694153206</v>
      </c>
    </row>
    <row r="59" spans="1:12" x14ac:dyDescent="0.25">
      <c r="A59" s="41">
        <v>2032</v>
      </c>
      <c r="B59" s="41">
        <v>19</v>
      </c>
      <c r="C59" s="206">
        <f>'2 CARRILES HCM'!C59</f>
        <v>6304.7310138387138</v>
      </c>
      <c r="D59" s="206">
        <f>'2 CARRILES HCM'!D59</f>
        <v>426.10197089773538</v>
      </c>
      <c r="E59" s="206">
        <f>'2 CARRILES HCM'!E59</f>
        <v>536.57285224159273</v>
      </c>
      <c r="F59" s="206">
        <f>'2 CARRILES HCM'!F59</f>
        <v>157.81554477693902</v>
      </c>
      <c r="G59" s="206">
        <f>'2 CARRILES HCM'!G59</f>
        <v>161.7609333963625</v>
      </c>
      <c r="H59" s="206">
        <f>'2 CARRILES HCM'!H59</f>
        <v>78.90777238846951</v>
      </c>
      <c r="I59" s="206">
        <f>'2 CARRILES HCM'!I59</f>
        <v>224.88715130713811</v>
      </c>
      <c r="J59" s="207">
        <f t="shared" si="3"/>
        <v>7890.7772388469511</v>
      </c>
      <c r="K59" s="35" t="str">
        <f t="shared" si="4"/>
        <v>A</v>
      </c>
      <c r="L59" s="69">
        <f t="shared" si="5"/>
        <v>96.69289401497781</v>
      </c>
    </row>
    <row r="60" spans="1:12" x14ac:dyDescent="0.25">
      <c r="A60" s="41">
        <v>2033</v>
      </c>
      <c r="B60" s="41">
        <v>20</v>
      </c>
      <c r="C60" s="206">
        <f>'2 CARRILES HCM'!C60</f>
        <v>6493.8729442538752</v>
      </c>
      <c r="D60" s="206">
        <f>'2 CARRILES HCM'!D60</f>
        <v>438.8850300246674</v>
      </c>
      <c r="E60" s="206">
        <f>'2 CARRILES HCM'!E60</f>
        <v>552.67003780884045</v>
      </c>
      <c r="F60" s="206">
        <f>'2 CARRILES HCM'!F60</f>
        <v>162.55001112024721</v>
      </c>
      <c r="G60" s="206">
        <f>'2 CARRILES HCM'!G60</f>
        <v>166.61376139825336</v>
      </c>
      <c r="H60" s="206">
        <f>'2 CARRILES HCM'!H60</f>
        <v>81.275005560123603</v>
      </c>
      <c r="I60" s="206">
        <f>'2 CARRILES HCM'!I60</f>
        <v>231.63376584635225</v>
      </c>
      <c r="J60" s="207">
        <f t="shared" si="3"/>
        <v>8127.5005560123609</v>
      </c>
      <c r="K60" s="35" t="str">
        <f t="shared" si="4"/>
        <v>A</v>
      </c>
      <c r="L60" s="69">
        <f t="shared" si="5"/>
        <v>96.143680835427134</v>
      </c>
    </row>
    <row r="61" spans="1:12" x14ac:dyDescent="0.25">
      <c r="A61" s="41">
        <v>2034</v>
      </c>
      <c r="B61" s="41">
        <v>21</v>
      </c>
      <c r="C61" s="206">
        <f>'2 CARRILES HCM'!C61</f>
        <v>6688.6891325814904</v>
      </c>
      <c r="D61" s="206">
        <f>'2 CARRILES HCM'!D61</f>
        <v>452.05158092540739</v>
      </c>
      <c r="E61" s="206">
        <f>'2 CARRILES HCM'!E61</f>
        <v>569.25013894310564</v>
      </c>
      <c r="F61" s="206">
        <f>'2 CARRILES HCM'!F61</f>
        <v>167.42651145385457</v>
      </c>
      <c r="G61" s="206">
        <f>'2 CARRILES HCM'!G61</f>
        <v>171.61217424020094</v>
      </c>
      <c r="H61" s="206">
        <f>'2 CARRILES HCM'!H61</f>
        <v>83.713255726927287</v>
      </c>
      <c r="I61" s="206">
        <f>'2 CARRILES HCM'!I61</f>
        <v>238.58277882174278</v>
      </c>
      <c r="J61" s="207">
        <f t="shared" si="3"/>
        <v>8371.3255726927291</v>
      </c>
      <c r="K61" s="35" t="str">
        <f t="shared" si="4"/>
        <v>A</v>
      </c>
      <c r="L61" s="69">
        <f t="shared" si="5"/>
        <v>95.577991260489952</v>
      </c>
    </row>
    <row r="62" spans="1:12" x14ac:dyDescent="0.25">
      <c r="A62" s="41">
        <v>2035</v>
      </c>
      <c r="B62" s="41">
        <v>22</v>
      </c>
      <c r="C62" s="206">
        <f>'2 CARRILES HCM'!C62</f>
        <v>6889.3498065589365</v>
      </c>
      <c r="D62" s="206">
        <f>'2 CARRILES HCM'!D62</f>
        <v>465.61312835316966</v>
      </c>
      <c r="E62" s="206">
        <f>'2 CARRILES HCM'!E62</f>
        <v>586.32764311139886</v>
      </c>
      <c r="F62" s="206">
        <f>'2 CARRILES HCM'!F62</f>
        <v>172.44930679747023</v>
      </c>
      <c r="G62" s="206">
        <f>'2 CARRILES HCM'!G62</f>
        <v>176.760539467407</v>
      </c>
      <c r="H62" s="206">
        <f>'2 CARRILES HCM'!H62</f>
        <v>86.224653398735114</v>
      </c>
      <c r="I62" s="206">
        <f>'2 CARRILES HCM'!I62</f>
        <v>245.74026218639509</v>
      </c>
      <c r="J62" s="207">
        <f t="shared" si="3"/>
        <v>8622.4653398735118</v>
      </c>
      <c r="K62" s="35" t="str">
        <f t="shared" si="4"/>
        <v>A</v>
      </c>
      <c r="L62" s="69">
        <f t="shared" si="5"/>
        <v>94.995330998304652</v>
      </c>
    </row>
    <row r="63" spans="1:12" x14ac:dyDescent="0.25">
      <c r="A63" s="41">
        <v>2036</v>
      </c>
      <c r="B63" s="41">
        <v>23</v>
      </c>
      <c r="C63" s="206">
        <f>'2 CARRILES HCM'!C63</f>
        <v>7096.030300755705</v>
      </c>
      <c r="D63" s="206">
        <f>'2 CARRILES HCM'!D63</f>
        <v>479.58152220376479</v>
      </c>
      <c r="E63" s="206">
        <f>'2 CARRILES HCM'!E63</f>
        <v>603.91747240474081</v>
      </c>
      <c r="F63" s="206">
        <f>'2 CARRILES HCM'!F63</f>
        <v>177.62278600139436</v>
      </c>
      <c r="G63" s="206">
        <f>'2 CARRILES HCM'!G63</f>
        <v>182.06335565142922</v>
      </c>
      <c r="H63" s="206">
        <f>'2 CARRILES HCM'!H63</f>
        <v>88.81139300069718</v>
      </c>
      <c r="I63" s="206">
        <f>'2 CARRILES HCM'!I63</f>
        <v>253.11247005198697</v>
      </c>
      <c r="J63" s="207">
        <f t="shared" si="3"/>
        <v>8881.1393000697171</v>
      </c>
      <c r="K63" s="35" t="str">
        <f t="shared" si="4"/>
        <v>A</v>
      </c>
      <c r="L63" s="69">
        <f t="shared" si="5"/>
        <v>94.395190928253797</v>
      </c>
    </row>
    <row r="64" spans="1:12" x14ac:dyDescent="0.25">
      <c r="A64" s="41">
        <v>2037</v>
      </c>
      <c r="B64" s="41">
        <v>24</v>
      </c>
      <c r="C64" s="206">
        <f>'2 CARRILES HCM'!C64</f>
        <v>7308.9112097783745</v>
      </c>
      <c r="D64" s="206">
        <f>'2 CARRILES HCM'!D64</f>
        <v>493.96896786987764</v>
      </c>
      <c r="E64" s="206">
        <f>'2 CARRILES HCM'!E64</f>
        <v>622.03499657688292</v>
      </c>
      <c r="F64" s="206">
        <f>'2 CARRILES HCM'!F64</f>
        <v>182.95146958143616</v>
      </c>
      <c r="G64" s="206">
        <f>'2 CARRILES HCM'!G64</f>
        <v>187.52525632097206</v>
      </c>
      <c r="H64" s="206">
        <f>'2 CARRILES HCM'!H64</f>
        <v>91.475734790718079</v>
      </c>
      <c r="I64" s="206">
        <f>'2 CARRILES HCM'!I64</f>
        <v>260.70584415354654</v>
      </c>
      <c r="J64" s="207">
        <f t="shared" si="3"/>
        <v>9147.5734790718088</v>
      </c>
      <c r="K64" s="35" t="str">
        <f t="shared" si="4"/>
        <v>A</v>
      </c>
      <c r="L64" s="69">
        <f t="shared" si="5"/>
        <v>93.777046656101405</v>
      </c>
    </row>
    <row r="65" spans="1:12" x14ac:dyDescent="0.25">
      <c r="A65" s="41">
        <v>2038</v>
      </c>
      <c r="B65" s="41">
        <v>25</v>
      </c>
      <c r="C65" s="206">
        <f>'2 CARRILES HCM'!C65</f>
        <v>7528.1785460717256</v>
      </c>
      <c r="D65" s="206">
        <f>'2 CARRILES HCM'!D65</f>
        <v>508.78803690597397</v>
      </c>
      <c r="E65" s="206">
        <f>'2 CARRILES HCM'!E65</f>
        <v>640.69604647418942</v>
      </c>
      <c r="F65" s="206">
        <f>'2 CARRILES HCM'!F65</f>
        <v>188.44001366887923</v>
      </c>
      <c r="G65" s="206">
        <f>'2 CARRILES HCM'!G65</f>
        <v>193.15101401060122</v>
      </c>
      <c r="H65" s="206">
        <f>'2 CARRILES HCM'!H65</f>
        <v>94.220006834439616</v>
      </c>
      <c r="I65" s="206">
        <f>'2 CARRILES HCM'!I65</f>
        <v>268.52701947815291</v>
      </c>
      <c r="J65" s="207">
        <f t="shared" si="3"/>
        <v>9422.0006834439628</v>
      </c>
      <c r="K65" s="35" t="str">
        <f t="shared" si="4"/>
        <v>A</v>
      </c>
      <c r="L65" s="69">
        <f t="shared" si="5"/>
        <v>93.140358055784446</v>
      </c>
    </row>
    <row r="66" spans="1:12" x14ac:dyDescent="0.25">
      <c r="A66" s="41">
        <v>2039</v>
      </c>
      <c r="B66" s="41">
        <v>26</v>
      </c>
      <c r="C66" s="206">
        <f>'2 CARRILES HCM'!C66</f>
        <v>7754.0239024538787</v>
      </c>
      <c r="D66" s="206">
        <f>'2 CARRILES HCM'!D66</f>
        <v>524.05167801315326</v>
      </c>
      <c r="E66" s="206">
        <f>'2 CARRILES HCM'!E66</f>
        <v>659.9169278684152</v>
      </c>
      <c r="F66" s="206">
        <f>'2 CARRILES HCM'!F66</f>
        <v>194.09321407894566</v>
      </c>
      <c r="G66" s="206">
        <f>'2 CARRILES HCM'!G66</f>
        <v>198.94554443091928</v>
      </c>
      <c r="H66" s="206">
        <f>'2 CARRILES HCM'!H66</f>
        <v>97.046607039472832</v>
      </c>
      <c r="I66" s="206">
        <f>'2 CARRILES HCM'!I66</f>
        <v>276.58283006249758</v>
      </c>
      <c r="J66" s="207">
        <f t="shared" si="3"/>
        <v>9704.6607039472819</v>
      </c>
      <c r="K66" s="35" t="str">
        <f t="shared" si="4"/>
        <v>A</v>
      </c>
      <c r="L66" s="69">
        <f t="shared" si="5"/>
        <v>92.726670208238005</v>
      </c>
    </row>
    <row r="67" spans="1:12" x14ac:dyDescent="0.25">
      <c r="A67" s="41">
        <v>2040</v>
      </c>
      <c r="B67" s="41">
        <v>27</v>
      </c>
      <c r="C67" s="206">
        <f>'2 CARRILES HCM'!C67</f>
        <v>7986.6446195274939</v>
      </c>
      <c r="D67" s="206">
        <f>'2 CARRILES HCM'!D67</f>
        <v>539.77322835354778</v>
      </c>
      <c r="E67" s="206">
        <f>'2 CARRILES HCM'!E67</f>
        <v>679.71443570446763</v>
      </c>
      <c r="F67" s="206">
        <f>'2 CARRILES HCM'!F67</f>
        <v>199.91601050131399</v>
      </c>
      <c r="G67" s="206">
        <f>'2 CARRILES HCM'!G67</f>
        <v>204.91391076384684</v>
      </c>
      <c r="H67" s="206">
        <f>'2 CARRILES HCM'!H67</f>
        <v>99.958005250656996</v>
      </c>
      <c r="I67" s="206">
        <f>'2 CARRILES HCM'!I67</f>
        <v>284.88031496437242</v>
      </c>
      <c r="J67" s="207">
        <f t="shared" si="3"/>
        <v>9995.8005250656988</v>
      </c>
      <c r="K67" s="35" t="str">
        <f t="shared" si="4"/>
        <v>A</v>
      </c>
      <c r="L67" s="69">
        <f t="shared" si="5"/>
        <v>92.058470314485149</v>
      </c>
    </row>
    <row r="68" spans="1:12" x14ac:dyDescent="0.25">
      <c r="A68" s="41">
        <v>2041</v>
      </c>
      <c r="B68" s="41">
        <v>28</v>
      </c>
      <c r="C68" s="206">
        <f>'2 CARRILES HCM'!C68</f>
        <v>8226.2439581133185</v>
      </c>
      <c r="D68" s="206">
        <f>'2 CARRILES HCM'!D68</f>
        <v>555.96642520415423</v>
      </c>
      <c r="E68" s="206">
        <f>'2 CARRILES HCM'!E68</f>
        <v>700.10586877560161</v>
      </c>
      <c r="F68" s="206">
        <f>'2 CARRILES HCM'!F68</f>
        <v>205.91349081635343</v>
      </c>
      <c r="G68" s="206">
        <f>'2 CARRILES HCM'!G68</f>
        <v>211.06132808676224</v>
      </c>
      <c r="H68" s="206">
        <f>'2 CARRILES HCM'!H68</f>
        <v>102.95674540817672</v>
      </c>
      <c r="I68" s="206">
        <f>'2 CARRILES HCM'!I68</f>
        <v>293.42672441330365</v>
      </c>
      <c r="J68" s="207">
        <f t="shared" si="3"/>
        <v>10295.674540817672</v>
      </c>
      <c r="K68" s="35" t="str">
        <f t="shared" si="4"/>
        <v>A</v>
      </c>
      <c r="L68" s="69">
        <f t="shared" si="5"/>
        <v>91.370224423919694</v>
      </c>
    </row>
    <row r="69" spans="1:12" x14ac:dyDescent="0.25">
      <c r="A69" s="41">
        <v>2042</v>
      </c>
      <c r="B69" s="41">
        <v>29</v>
      </c>
      <c r="C69" s="206">
        <f>'2 CARRILES HCM'!C69</f>
        <v>8473.0312768567183</v>
      </c>
      <c r="D69" s="206">
        <f>'2 CARRILES HCM'!D69</f>
        <v>572.64541796027879</v>
      </c>
      <c r="E69" s="206">
        <f>'2 CARRILES HCM'!E69</f>
        <v>721.10904483886964</v>
      </c>
      <c r="F69" s="206">
        <f>'2 CARRILES HCM'!F69</f>
        <v>212.090895540844</v>
      </c>
      <c r="G69" s="206">
        <f>'2 CARRILES HCM'!G69</f>
        <v>217.39316792936509</v>
      </c>
      <c r="H69" s="206">
        <f>'2 CARRILES HCM'!H69</f>
        <v>106.045447770422</v>
      </c>
      <c r="I69" s="206">
        <f>'2 CARRILES HCM'!I69</f>
        <v>302.22952614570272</v>
      </c>
      <c r="J69" s="207">
        <f t="shared" si="3"/>
        <v>10604.5447770422</v>
      </c>
      <c r="K69" s="35" t="str">
        <f t="shared" si="4"/>
        <v>A</v>
      </c>
      <c r="L69" s="69">
        <f t="shared" si="5"/>
        <v>90.661331156637289</v>
      </c>
    </row>
    <row r="70" spans="1:12" x14ac:dyDescent="0.25">
      <c r="A70" s="41">
        <v>2043</v>
      </c>
      <c r="B70" s="41">
        <v>30</v>
      </c>
      <c r="C70" s="206">
        <f>'2 CARRILES HCM'!C70</f>
        <v>8727.2222151624192</v>
      </c>
      <c r="D70" s="206">
        <f>'2 CARRILES HCM'!D70</f>
        <v>589.82478049908718</v>
      </c>
      <c r="E70" s="206">
        <f>'2 CARRILES HCM'!E70</f>
        <v>742.74231618403564</v>
      </c>
      <c r="F70" s="206">
        <f>'2 CARRILES HCM'!F70</f>
        <v>218.45362240706933</v>
      </c>
      <c r="G70" s="206">
        <f>'2 CARRILES HCM'!G70</f>
        <v>223.91496296724605</v>
      </c>
      <c r="H70" s="206">
        <f>'2 CARRILES HCM'!H70</f>
        <v>109.22681120353467</v>
      </c>
      <c r="I70" s="206">
        <f>'2 CARRILES HCM'!I70</f>
        <v>311.29641193007376</v>
      </c>
      <c r="J70" s="207">
        <f t="shared" si="3"/>
        <v>10922.681120353467</v>
      </c>
      <c r="K70" s="35" t="str">
        <f t="shared" si="4"/>
        <v>A</v>
      </c>
      <c r="L70" s="69">
        <f t="shared" si="5"/>
        <v>89.93117109133641</v>
      </c>
    </row>
    <row r="71" spans="1:12" x14ac:dyDescent="0.25">
      <c r="A71" s="41">
        <v>2044</v>
      </c>
      <c r="B71" s="41">
        <v>31</v>
      </c>
      <c r="C71" s="206">
        <f>'2 CARRILES HCM'!C71</f>
        <v>8989.0388816172926</v>
      </c>
      <c r="D71" s="206">
        <f>'2 CARRILES HCM'!D71</f>
        <v>607.51952391405985</v>
      </c>
      <c r="E71" s="206">
        <f>'2 CARRILES HCM'!E71</f>
        <v>765.02458566955693</v>
      </c>
      <c r="F71" s="206">
        <f>'2 CARRILES HCM'!F71</f>
        <v>225.00723107928144</v>
      </c>
      <c r="G71" s="206">
        <f>'2 CARRILES HCM'!G71</f>
        <v>230.63241185626347</v>
      </c>
      <c r="H71" s="206">
        <f>'2 CARRILES HCM'!H71</f>
        <v>112.50361553964072</v>
      </c>
      <c r="I71" s="206">
        <f>'2 CARRILES HCM'!I71</f>
        <v>320.63530428797606</v>
      </c>
      <c r="J71" s="207">
        <f>SUM(C71:I71)</f>
        <v>11250.361553964072</v>
      </c>
      <c r="K71" s="35" t="str">
        <f t="shared" si="4"/>
        <v>A</v>
      </c>
      <c r="L71" s="69">
        <f>M392</f>
        <v>89.179106224076492</v>
      </c>
    </row>
    <row r="72" spans="1:12" ht="15.75" thickBot="1" x14ac:dyDescent="0.3">
      <c r="A72" s="41">
        <v>2045</v>
      </c>
      <c r="B72" s="41">
        <v>32</v>
      </c>
      <c r="C72" s="206">
        <f>'2 CARRILES HCM'!C72</f>
        <v>9258.71004806581</v>
      </c>
      <c r="D72" s="206">
        <f>'2 CARRILES HCM'!D72</f>
        <v>625.74510963148157</v>
      </c>
      <c r="E72" s="206">
        <f>'2 CARRILES HCM'!E72</f>
        <v>787.97532323964344</v>
      </c>
      <c r="F72" s="206">
        <f>'2 CARRILES HCM'!F72</f>
        <v>231.75744801165985</v>
      </c>
      <c r="G72" s="206">
        <f>'2 CARRILES HCM'!G72</f>
        <v>237.55138421195133</v>
      </c>
      <c r="H72" s="206">
        <f>'2 CARRILES HCM'!H72</f>
        <v>115.87872400582992</v>
      </c>
      <c r="I72" s="206">
        <f>'2 CARRILES HCM'!I72</f>
        <v>330.25436341661526</v>
      </c>
      <c r="J72" s="207">
        <f>SUM(C72:I72)</f>
        <v>11587.872400582992</v>
      </c>
      <c r="K72" s="35" t="str">
        <f t="shared" si="4"/>
        <v>A</v>
      </c>
      <c r="L72" s="69">
        <f>M393</f>
        <v>88.4044794107988</v>
      </c>
    </row>
    <row r="73" spans="1:12" ht="15.75" thickBot="1" x14ac:dyDescent="0.3">
      <c r="A73" s="70"/>
      <c r="B73" s="71" t="s">
        <v>54</v>
      </c>
      <c r="C73" s="297">
        <f>'2 CARRILES HCM'!C73</f>
        <v>0.03</v>
      </c>
      <c r="D73" s="297">
        <f>'2 CARRILES HCM'!D73</f>
        <v>0.03</v>
      </c>
      <c r="E73" s="297">
        <f>'2 CARRILES HCM'!E73</f>
        <v>0.03</v>
      </c>
      <c r="F73" s="297">
        <f>'2 CARRILES HCM'!F73</f>
        <v>0.03</v>
      </c>
      <c r="G73" s="297">
        <f>'2 CARRILES HCM'!G73</f>
        <v>0.03</v>
      </c>
      <c r="H73" s="297">
        <f>'2 CARRILES HCM'!H73</f>
        <v>0.03</v>
      </c>
      <c r="I73" s="297">
        <f>'2 CARRILES HCM'!I73</f>
        <v>0.03</v>
      </c>
      <c r="J73" s="208">
        <f>SUM(C73:I73)/7</f>
        <v>0.03</v>
      </c>
    </row>
    <row r="75" spans="1:12" x14ac:dyDescent="0.25">
      <c r="A75" s="74" t="s">
        <v>57</v>
      </c>
      <c r="B75" s="74"/>
      <c r="C75" s="74"/>
    </row>
    <row r="76" spans="1:12" x14ac:dyDescent="0.25">
      <c r="A76" s="68" t="s">
        <v>18</v>
      </c>
      <c r="B76" s="68" t="s">
        <v>45</v>
      </c>
      <c r="C76" s="41" t="s">
        <v>46</v>
      </c>
      <c r="D76" s="41" t="s">
        <v>47</v>
      </c>
      <c r="E76" s="41" t="s">
        <v>48</v>
      </c>
      <c r="F76" s="41" t="s">
        <v>49</v>
      </c>
      <c r="G76" s="41" t="s">
        <v>50</v>
      </c>
      <c r="H76" s="41" t="s">
        <v>51</v>
      </c>
      <c r="I76" s="41" t="s">
        <v>52</v>
      </c>
      <c r="J76" s="41" t="s">
        <v>53</v>
      </c>
      <c r="K76" s="105" t="str">
        <f>F393</f>
        <v>A</v>
      </c>
      <c r="L76" s="105">
        <f>G393</f>
        <v>95</v>
      </c>
    </row>
    <row r="77" spans="1:12" x14ac:dyDescent="0.25">
      <c r="A77" s="41">
        <v>2013</v>
      </c>
      <c r="B77" s="41">
        <v>0</v>
      </c>
      <c r="C77" s="206">
        <f>'2 CARRILES HCM'!C78</f>
        <v>7191</v>
      </c>
      <c r="D77" s="206">
        <f>'2 CARRILES HCM'!D78</f>
        <v>486</v>
      </c>
      <c r="E77" s="206">
        <f>'2 CARRILES HCM'!E78</f>
        <v>612</v>
      </c>
      <c r="F77" s="206">
        <f>'2 CARRILES HCM'!F78</f>
        <v>180</v>
      </c>
      <c r="G77" s="206">
        <f>'2 CARRILES HCM'!G78</f>
        <v>184.5</v>
      </c>
      <c r="H77" s="206">
        <f>'2 CARRILES HCM'!H78</f>
        <v>90</v>
      </c>
      <c r="I77" s="206">
        <f>'2 CARRILES HCM'!I78</f>
        <v>256.5</v>
      </c>
      <c r="J77" s="207">
        <f>SUM(C77:I77)</f>
        <v>9000</v>
      </c>
      <c r="K77" s="107" t="e">
        <f>F396</f>
        <v>#VALUE!</v>
      </c>
      <c r="L77" s="69" t="e">
        <f>M396</f>
        <v>#VALUE!</v>
      </c>
    </row>
    <row r="78" spans="1:12" x14ac:dyDescent="0.25">
      <c r="A78" s="41">
        <v>2014</v>
      </c>
      <c r="B78" s="41">
        <v>1</v>
      </c>
      <c r="C78" s="206">
        <f>'2 CARRILES HCM'!C79</f>
        <v>7406.7300000000005</v>
      </c>
      <c r="D78" s="206">
        <f>'2 CARRILES HCM'!D79</f>
        <v>500.58000000000004</v>
      </c>
      <c r="E78" s="206">
        <f>'2 CARRILES HCM'!E79</f>
        <v>630.36</v>
      </c>
      <c r="F78" s="206">
        <f>'2 CARRILES HCM'!F79</f>
        <v>185.4</v>
      </c>
      <c r="G78" s="206">
        <f>'2 CARRILES HCM'!G79</f>
        <v>190.035</v>
      </c>
      <c r="H78" s="206">
        <f>'2 CARRILES HCM'!H79</f>
        <v>92.7</v>
      </c>
      <c r="I78" s="206">
        <f>'2 CARRILES HCM'!I79</f>
        <v>264.19499999999999</v>
      </c>
      <c r="J78" s="207">
        <f t="shared" ref="J78:J107" si="6">SUM(C78:I78)</f>
        <v>9270</v>
      </c>
      <c r="K78" s="107" t="e">
        <f t="shared" ref="K78:K107" si="7">F397</f>
        <v>#VALUE!</v>
      </c>
      <c r="L78" s="69" t="e">
        <f t="shared" ref="L78:L107" si="8">M397</f>
        <v>#VALUE!</v>
      </c>
    </row>
    <row r="79" spans="1:12" x14ac:dyDescent="0.25">
      <c r="A79" s="41">
        <v>2015</v>
      </c>
      <c r="B79" s="41">
        <v>2</v>
      </c>
      <c r="C79" s="206">
        <f>'2 CARRILES HCM'!C80</f>
        <v>7628.9318999999996</v>
      </c>
      <c r="D79" s="206">
        <f>'2 CARRILES HCM'!D80</f>
        <v>515.59739999999999</v>
      </c>
      <c r="E79" s="206">
        <f>'2 CARRILES HCM'!E80</f>
        <v>649.27080000000001</v>
      </c>
      <c r="F79" s="206">
        <f>'2 CARRILES HCM'!F80</f>
        <v>190.96199999999999</v>
      </c>
      <c r="G79" s="206">
        <f>'2 CARRILES HCM'!G80</f>
        <v>195.73604999999998</v>
      </c>
      <c r="H79" s="206">
        <f>'2 CARRILES HCM'!H80</f>
        <v>95.480999999999995</v>
      </c>
      <c r="I79" s="206">
        <f>'2 CARRILES HCM'!I80</f>
        <v>272.12084999999996</v>
      </c>
      <c r="J79" s="207">
        <f t="shared" si="6"/>
        <v>9548.0999999999967</v>
      </c>
      <c r="K79" s="107" t="e">
        <f t="shared" si="7"/>
        <v>#VALUE!</v>
      </c>
      <c r="L79" s="69" t="e">
        <f t="shared" si="8"/>
        <v>#VALUE!</v>
      </c>
    </row>
    <row r="80" spans="1:12" x14ac:dyDescent="0.25">
      <c r="A80" s="41">
        <v>2016</v>
      </c>
      <c r="B80" s="41">
        <v>3</v>
      </c>
      <c r="C80" s="206">
        <f>'2 CARRILES HCM'!C81</f>
        <v>7857.799857</v>
      </c>
      <c r="D80" s="206">
        <f>'2 CARRILES HCM'!D81</f>
        <v>531.06532200000004</v>
      </c>
      <c r="E80" s="206">
        <f>'2 CARRILES HCM'!E81</f>
        <v>668.74892399999999</v>
      </c>
      <c r="F80" s="206">
        <f>'2 CARRILES HCM'!F81</f>
        <v>196.69085999999999</v>
      </c>
      <c r="G80" s="206">
        <f>'2 CARRILES HCM'!G81</f>
        <v>201.60813150000001</v>
      </c>
      <c r="H80" s="206">
        <f>'2 CARRILES HCM'!H81</f>
        <v>98.345429999999993</v>
      </c>
      <c r="I80" s="206">
        <f>'2 CARRILES HCM'!I81</f>
        <v>280.28447549999999</v>
      </c>
      <c r="J80" s="207">
        <f t="shared" si="6"/>
        <v>9834.5429999999997</v>
      </c>
      <c r="K80" s="107" t="e">
        <f t="shared" si="7"/>
        <v>#VALUE!</v>
      </c>
      <c r="L80" s="69" t="e">
        <f t="shared" si="8"/>
        <v>#VALUE!</v>
      </c>
    </row>
    <row r="81" spans="1:12" x14ac:dyDescent="0.25">
      <c r="A81" s="41">
        <v>2017</v>
      </c>
      <c r="B81" s="41">
        <v>4</v>
      </c>
      <c r="C81" s="206">
        <f>'2 CARRILES HCM'!C82</f>
        <v>8093.5338527099993</v>
      </c>
      <c r="D81" s="206">
        <f>'2 CARRILES HCM'!D82</f>
        <v>546.99728166</v>
      </c>
      <c r="E81" s="206">
        <f>'2 CARRILES HCM'!E82</f>
        <v>688.81139171999996</v>
      </c>
      <c r="F81" s="206">
        <f>'2 CARRILES HCM'!F82</f>
        <v>202.59158579999999</v>
      </c>
      <c r="G81" s="206">
        <f>'2 CARRILES HCM'!G82</f>
        <v>207.65637544499998</v>
      </c>
      <c r="H81" s="206">
        <f>'2 CARRILES HCM'!H82</f>
        <v>101.2957929</v>
      </c>
      <c r="I81" s="206">
        <f>'2 CARRILES HCM'!I82</f>
        <v>288.693009765</v>
      </c>
      <c r="J81" s="207">
        <f t="shared" si="6"/>
        <v>10129.579290000001</v>
      </c>
      <c r="K81" s="107" t="e">
        <f t="shared" si="7"/>
        <v>#VALUE!</v>
      </c>
      <c r="L81" s="69" t="e">
        <f t="shared" si="8"/>
        <v>#VALUE!</v>
      </c>
    </row>
    <row r="82" spans="1:12" x14ac:dyDescent="0.25">
      <c r="A82" s="41">
        <v>2018</v>
      </c>
      <c r="B82" s="41">
        <v>5</v>
      </c>
      <c r="C82" s="206">
        <f>'2 CARRILES HCM'!C83</f>
        <v>8336.3398682912994</v>
      </c>
      <c r="D82" s="206">
        <f>'2 CARRILES HCM'!D83</f>
        <v>563.40720010979987</v>
      </c>
      <c r="E82" s="206">
        <f>'2 CARRILES HCM'!E83</f>
        <v>709.47573347159994</v>
      </c>
      <c r="F82" s="206">
        <f>'2 CARRILES HCM'!F83</f>
        <v>208.66933337399996</v>
      </c>
      <c r="G82" s="206">
        <f>'2 CARRILES HCM'!G83</f>
        <v>213.88606670834997</v>
      </c>
      <c r="H82" s="206">
        <f>'2 CARRILES HCM'!H83</f>
        <v>104.33466668699998</v>
      </c>
      <c r="I82" s="206">
        <f>'2 CARRILES HCM'!I83</f>
        <v>297.35380005794997</v>
      </c>
      <c r="J82" s="207">
        <f t="shared" si="6"/>
        <v>10433.466668699999</v>
      </c>
      <c r="K82" s="107" t="e">
        <f t="shared" si="7"/>
        <v>#VALUE!</v>
      </c>
      <c r="L82" s="69" t="e">
        <f t="shared" si="8"/>
        <v>#VALUE!</v>
      </c>
    </row>
    <row r="83" spans="1:12" x14ac:dyDescent="0.25">
      <c r="A83" s="41">
        <v>2019</v>
      </c>
      <c r="B83" s="41">
        <v>6</v>
      </c>
      <c r="C83" s="206">
        <f>'2 CARRILES HCM'!C84</f>
        <v>8586.4300643400384</v>
      </c>
      <c r="D83" s="206">
        <f>'2 CARRILES HCM'!D84</f>
        <v>580.3094161130939</v>
      </c>
      <c r="E83" s="206">
        <f>'2 CARRILES HCM'!E84</f>
        <v>730.7600054757479</v>
      </c>
      <c r="F83" s="206">
        <f>'2 CARRILES HCM'!F84</f>
        <v>214.92941337521998</v>
      </c>
      <c r="G83" s="206">
        <f>'2 CARRILES HCM'!G84</f>
        <v>220.30264870960048</v>
      </c>
      <c r="H83" s="206">
        <f>'2 CARRILES HCM'!H84</f>
        <v>107.46470668760999</v>
      </c>
      <c r="I83" s="206">
        <f>'2 CARRILES HCM'!I84</f>
        <v>306.27441405968847</v>
      </c>
      <c r="J83" s="207">
        <f t="shared" si="6"/>
        <v>10746.470668760998</v>
      </c>
      <c r="K83" s="107" t="e">
        <f t="shared" si="7"/>
        <v>#VALUE!</v>
      </c>
      <c r="L83" s="69" t="e">
        <f t="shared" si="8"/>
        <v>#VALUE!</v>
      </c>
    </row>
    <row r="84" spans="1:12" x14ac:dyDescent="0.25">
      <c r="A84" s="41">
        <v>2020</v>
      </c>
      <c r="B84" s="41">
        <v>7</v>
      </c>
      <c r="C84" s="206">
        <f>'2 CARRILES HCM'!C85</f>
        <v>8844.0229662702404</v>
      </c>
      <c r="D84" s="206">
        <f>'2 CARRILES HCM'!D85</f>
        <v>597.71869859648677</v>
      </c>
      <c r="E84" s="206">
        <f>'2 CARRILES HCM'!E85</f>
        <v>752.68280564002043</v>
      </c>
      <c r="F84" s="206">
        <f>'2 CARRILES HCM'!F85</f>
        <v>221.37729577647659</v>
      </c>
      <c r="G84" s="206">
        <f>'2 CARRILES HCM'!G85</f>
        <v>226.91172817088852</v>
      </c>
      <c r="H84" s="206">
        <f>'2 CARRILES HCM'!H85</f>
        <v>110.68864788823829</v>
      </c>
      <c r="I84" s="206">
        <f>'2 CARRILES HCM'!I85</f>
        <v>315.46264648147917</v>
      </c>
      <c r="J84" s="207">
        <f t="shared" si="6"/>
        <v>11068.86478882383</v>
      </c>
      <c r="K84" s="107" t="e">
        <f t="shared" si="7"/>
        <v>#VALUE!</v>
      </c>
      <c r="L84" s="69" t="e">
        <f t="shared" si="8"/>
        <v>#VALUE!</v>
      </c>
    </row>
    <row r="85" spans="1:12" x14ac:dyDescent="0.25">
      <c r="A85" s="41">
        <v>2021</v>
      </c>
      <c r="B85" s="41">
        <v>8</v>
      </c>
      <c r="C85" s="206">
        <f>'2 CARRILES HCM'!C86</f>
        <v>9109.3436552583462</v>
      </c>
      <c r="D85" s="206">
        <f>'2 CARRILES HCM'!D86</f>
        <v>615.65025955438136</v>
      </c>
      <c r="E85" s="206">
        <f>'2 CARRILES HCM'!E86</f>
        <v>775.26328980922096</v>
      </c>
      <c r="F85" s="206">
        <f>'2 CARRILES HCM'!F86</f>
        <v>228.01861464977088</v>
      </c>
      <c r="G85" s="206">
        <f>'2 CARRILES HCM'!G86</f>
        <v>233.71908001601514</v>
      </c>
      <c r="H85" s="206">
        <f>'2 CARRILES HCM'!H86</f>
        <v>114.00930732488544</v>
      </c>
      <c r="I85" s="206">
        <f>'2 CARRILES HCM'!I86</f>
        <v>324.92652587592346</v>
      </c>
      <c r="J85" s="207">
        <f t="shared" si="6"/>
        <v>11400.930732488545</v>
      </c>
      <c r="K85" s="107" t="e">
        <f t="shared" si="7"/>
        <v>#VALUE!</v>
      </c>
      <c r="L85" s="69" t="e">
        <f t="shared" si="8"/>
        <v>#VALUE!</v>
      </c>
    </row>
    <row r="86" spans="1:12" x14ac:dyDescent="0.25">
      <c r="A86" s="41">
        <v>2022</v>
      </c>
      <c r="B86" s="41">
        <v>9</v>
      </c>
      <c r="C86" s="206">
        <f>'2 CARRILES HCM'!C87</f>
        <v>9382.6239649160962</v>
      </c>
      <c r="D86" s="206">
        <f>'2 CARRILES HCM'!D87</f>
        <v>634.11976734101279</v>
      </c>
      <c r="E86" s="206">
        <f>'2 CARRILES HCM'!E87</f>
        <v>798.52118850349757</v>
      </c>
      <c r="F86" s="206">
        <f>'2 CARRILES HCM'!F87</f>
        <v>234.859173089264</v>
      </c>
      <c r="G86" s="206">
        <f>'2 CARRILES HCM'!G87</f>
        <v>240.73065241649562</v>
      </c>
      <c r="H86" s="206">
        <f>'2 CARRILES HCM'!H87</f>
        <v>117.429586544632</v>
      </c>
      <c r="I86" s="206">
        <f>'2 CARRILES HCM'!I87</f>
        <v>334.67432165220123</v>
      </c>
      <c r="J86" s="207">
        <f t="shared" si="6"/>
        <v>11742.9586544632</v>
      </c>
      <c r="K86" s="107" t="e">
        <f t="shared" si="7"/>
        <v>#VALUE!</v>
      </c>
      <c r="L86" s="69" t="e">
        <f t="shared" si="8"/>
        <v>#VALUE!</v>
      </c>
    </row>
    <row r="87" spans="1:12" x14ac:dyDescent="0.25">
      <c r="A87" s="41">
        <v>2023</v>
      </c>
      <c r="B87" s="41">
        <v>10</v>
      </c>
      <c r="C87" s="206">
        <f>'2 CARRILES HCM'!C88</f>
        <v>9664.1026838635789</v>
      </c>
      <c r="D87" s="206">
        <f>'2 CARRILES HCM'!D88</f>
        <v>653.14336036124314</v>
      </c>
      <c r="E87" s="206">
        <f>'2 CARRILES HCM'!E88</f>
        <v>822.47682415860254</v>
      </c>
      <c r="F87" s="206">
        <f>'2 CARRILES HCM'!F88</f>
        <v>241.90494828194193</v>
      </c>
      <c r="G87" s="206">
        <f>'2 CARRILES HCM'!G88</f>
        <v>247.95257198899046</v>
      </c>
      <c r="H87" s="206">
        <f>'2 CARRILES HCM'!H88</f>
        <v>120.95247414097096</v>
      </c>
      <c r="I87" s="206">
        <f>'2 CARRILES HCM'!I88</f>
        <v>344.71455130176724</v>
      </c>
      <c r="J87" s="207">
        <f t="shared" si="6"/>
        <v>12095.247414097097</v>
      </c>
      <c r="K87" s="107" t="e">
        <f t="shared" si="7"/>
        <v>#VALUE!</v>
      </c>
      <c r="L87" s="69" t="e">
        <f t="shared" si="8"/>
        <v>#VALUE!</v>
      </c>
    </row>
    <row r="88" spans="1:12" x14ac:dyDescent="0.25">
      <c r="A88" s="41">
        <v>2024</v>
      </c>
      <c r="B88" s="41">
        <v>11</v>
      </c>
      <c r="C88" s="206">
        <f>'2 CARRILES HCM'!C89</f>
        <v>9954.0257643794866</v>
      </c>
      <c r="D88" s="206">
        <f>'2 CARRILES HCM'!D89</f>
        <v>672.73766117208049</v>
      </c>
      <c r="E88" s="206">
        <f>'2 CARRILES HCM'!E89</f>
        <v>847.15112888336068</v>
      </c>
      <c r="F88" s="206">
        <f>'2 CARRILES HCM'!F89</f>
        <v>249.16209673040018</v>
      </c>
      <c r="G88" s="206">
        <f>'2 CARRILES HCM'!G89</f>
        <v>255.39114914866019</v>
      </c>
      <c r="H88" s="206">
        <f>'2 CARRILES HCM'!H89</f>
        <v>124.58104836520009</v>
      </c>
      <c r="I88" s="206">
        <f>'2 CARRILES HCM'!I89</f>
        <v>355.05598784082025</v>
      </c>
      <c r="J88" s="207">
        <f t="shared" si="6"/>
        <v>12458.104836520009</v>
      </c>
      <c r="K88" s="107" t="e">
        <f t="shared" si="7"/>
        <v>#VALUE!</v>
      </c>
      <c r="L88" s="69" t="e">
        <f t="shared" si="8"/>
        <v>#VALUE!</v>
      </c>
    </row>
    <row r="89" spans="1:12" x14ac:dyDescent="0.25">
      <c r="A89" s="41">
        <v>2025</v>
      </c>
      <c r="B89" s="41">
        <v>12</v>
      </c>
      <c r="C89" s="206">
        <f>'2 CARRILES HCM'!C90</f>
        <v>10252.646537310871</v>
      </c>
      <c r="D89" s="206">
        <f>'2 CARRILES HCM'!D90</f>
        <v>692.91979100724279</v>
      </c>
      <c r="E89" s="206">
        <f>'2 CARRILES HCM'!E90</f>
        <v>872.5656627498613</v>
      </c>
      <c r="F89" s="206">
        <f>'2 CARRILES HCM'!F90</f>
        <v>256.63695963231214</v>
      </c>
      <c r="G89" s="206">
        <f>'2 CARRILES HCM'!G90</f>
        <v>263.05288362311995</v>
      </c>
      <c r="H89" s="206">
        <f>'2 CARRILES HCM'!H90</f>
        <v>128.31847981615607</v>
      </c>
      <c r="I89" s="206">
        <f>'2 CARRILES HCM'!I90</f>
        <v>365.70766747604483</v>
      </c>
      <c r="J89" s="207">
        <f t="shared" si="6"/>
        <v>12831.84798161561</v>
      </c>
      <c r="K89" s="107" t="e">
        <f t="shared" si="7"/>
        <v>#VALUE!</v>
      </c>
      <c r="L89" s="69" t="e">
        <f t="shared" si="8"/>
        <v>#VALUE!</v>
      </c>
    </row>
    <row r="90" spans="1:12" x14ac:dyDescent="0.25">
      <c r="A90" s="41">
        <v>2026</v>
      </c>
      <c r="B90" s="41">
        <v>13</v>
      </c>
      <c r="C90" s="206">
        <f>'2 CARRILES HCM'!C91</f>
        <v>10560.225933430196</v>
      </c>
      <c r="D90" s="206">
        <f>'2 CARRILES HCM'!D91</f>
        <v>713.70738473746007</v>
      </c>
      <c r="E90" s="206">
        <f>'2 CARRILES HCM'!E91</f>
        <v>898.74263263235707</v>
      </c>
      <c r="F90" s="206">
        <f>'2 CARRILES HCM'!F91</f>
        <v>264.33606842128148</v>
      </c>
      <c r="G90" s="206">
        <f>'2 CARRILES HCM'!G91</f>
        <v>270.94447013181355</v>
      </c>
      <c r="H90" s="206">
        <f>'2 CARRILES HCM'!H91</f>
        <v>132.16803421064074</v>
      </c>
      <c r="I90" s="206">
        <f>'2 CARRILES HCM'!I91</f>
        <v>376.67889750032617</v>
      </c>
      <c r="J90" s="207">
        <f t="shared" si="6"/>
        <v>13216.803421064074</v>
      </c>
      <c r="K90" s="107" t="e">
        <f t="shared" si="7"/>
        <v>#VALUE!</v>
      </c>
      <c r="L90" s="69" t="e">
        <f t="shared" si="8"/>
        <v>#VALUE!</v>
      </c>
    </row>
    <row r="91" spans="1:12" x14ac:dyDescent="0.25">
      <c r="A91" s="41">
        <v>2027</v>
      </c>
      <c r="B91" s="41">
        <v>14</v>
      </c>
      <c r="C91" s="206">
        <f>'2 CARRILES HCM'!C92</f>
        <v>10877.032711433103</v>
      </c>
      <c r="D91" s="206">
        <f>'2 CARRILES HCM'!D92</f>
        <v>735.1186062795839</v>
      </c>
      <c r="E91" s="206">
        <f>'2 CARRILES HCM'!E92</f>
        <v>925.70491161132793</v>
      </c>
      <c r="F91" s="206">
        <f>'2 CARRILES HCM'!F92</f>
        <v>272.26615047391999</v>
      </c>
      <c r="G91" s="206">
        <f>'2 CARRILES HCM'!G92</f>
        <v>279.07280423576799</v>
      </c>
      <c r="H91" s="206">
        <f>'2 CARRILES HCM'!H92</f>
        <v>136.13307523696</v>
      </c>
      <c r="I91" s="206">
        <f>'2 CARRILES HCM'!I92</f>
        <v>387.979264425336</v>
      </c>
      <c r="J91" s="207">
        <f t="shared" si="6"/>
        <v>13613.307523695999</v>
      </c>
      <c r="K91" s="107" t="e">
        <f t="shared" si="7"/>
        <v>#VALUE!</v>
      </c>
      <c r="L91" s="69" t="e">
        <f t="shared" si="8"/>
        <v>#VALUE!</v>
      </c>
    </row>
    <row r="92" spans="1:12" x14ac:dyDescent="0.25">
      <c r="A92" s="41">
        <v>2028</v>
      </c>
      <c r="B92" s="41">
        <v>15</v>
      </c>
      <c r="C92" s="206">
        <f>'2 CARRILES HCM'!C93</f>
        <v>11203.343692776098</v>
      </c>
      <c r="D92" s="206">
        <f>'2 CARRILES HCM'!D93</f>
        <v>757.17216446797147</v>
      </c>
      <c r="E92" s="206">
        <f>'2 CARRILES HCM'!E93</f>
        <v>953.47605895966785</v>
      </c>
      <c r="F92" s="206">
        <f>'2 CARRILES HCM'!F93</f>
        <v>280.4341349881376</v>
      </c>
      <c r="G92" s="206">
        <f>'2 CARRILES HCM'!G93</f>
        <v>287.44498836284106</v>
      </c>
      <c r="H92" s="206">
        <f>'2 CARRILES HCM'!H93</f>
        <v>140.2170674940688</v>
      </c>
      <c r="I92" s="206">
        <f>'2 CARRILES HCM'!I93</f>
        <v>399.61864235809605</v>
      </c>
      <c r="J92" s="207">
        <f t="shared" si="6"/>
        <v>14021.70674940688</v>
      </c>
      <c r="K92" s="107" t="e">
        <f t="shared" si="7"/>
        <v>#VALUE!</v>
      </c>
      <c r="L92" s="69" t="e">
        <f t="shared" si="8"/>
        <v>#VALUE!</v>
      </c>
    </row>
    <row r="93" spans="1:12" x14ac:dyDescent="0.25">
      <c r="A93" s="41">
        <v>2029</v>
      </c>
      <c r="B93" s="41">
        <v>16</v>
      </c>
      <c r="C93" s="206">
        <f>'2 CARRILES HCM'!C94</f>
        <v>11539.444003559378</v>
      </c>
      <c r="D93" s="206">
        <f>'2 CARRILES HCM'!D94</f>
        <v>779.88732940201055</v>
      </c>
      <c r="E93" s="206">
        <f>'2 CARRILES HCM'!E94</f>
        <v>982.08034072845771</v>
      </c>
      <c r="F93" s="206">
        <f>'2 CARRILES HCM'!F94</f>
        <v>288.84715903778169</v>
      </c>
      <c r="G93" s="206">
        <f>'2 CARRILES HCM'!G94</f>
        <v>296.06833801372619</v>
      </c>
      <c r="H93" s="206">
        <f>'2 CARRILES HCM'!H94</f>
        <v>144.42357951889085</v>
      </c>
      <c r="I93" s="206">
        <f>'2 CARRILES HCM'!I94</f>
        <v>411.60720162883888</v>
      </c>
      <c r="J93" s="207">
        <f t="shared" si="6"/>
        <v>14442.357951889084</v>
      </c>
      <c r="K93" s="107" t="e">
        <f t="shared" si="7"/>
        <v>#VALUE!</v>
      </c>
      <c r="L93" s="69" t="e">
        <f t="shared" si="8"/>
        <v>#VALUE!</v>
      </c>
    </row>
    <row r="94" spans="1:12" x14ac:dyDescent="0.25">
      <c r="A94" s="41">
        <v>2030</v>
      </c>
      <c r="B94" s="41">
        <v>17</v>
      </c>
      <c r="C94" s="206">
        <f>'2 CARRILES HCM'!C95</f>
        <v>11885.62732366616</v>
      </c>
      <c r="D94" s="206">
        <f>'2 CARRILES HCM'!D95</f>
        <v>803.28394928407079</v>
      </c>
      <c r="E94" s="206">
        <f>'2 CARRILES HCM'!E95</f>
        <v>1011.5427509503114</v>
      </c>
      <c r="F94" s="206">
        <f>'2 CARRILES HCM'!F95</f>
        <v>297.51257380891514</v>
      </c>
      <c r="G94" s="206">
        <f>'2 CARRILES HCM'!G95</f>
        <v>304.95038815413801</v>
      </c>
      <c r="H94" s="206">
        <f>'2 CARRILES HCM'!H95</f>
        <v>148.75628690445757</v>
      </c>
      <c r="I94" s="206">
        <f>'2 CARRILES HCM'!I95</f>
        <v>423.95541767770408</v>
      </c>
      <c r="J94" s="207">
        <f t="shared" si="6"/>
        <v>14875.628690445757</v>
      </c>
      <c r="K94" s="107" t="e">
        <f t="shared" si="7"/>
        <v>#VALUE!</v>
      </c>
      <c r="L94" s="69" t="e">
        <f t="shared" si="8"/>
        <v>#VALUE!</v>
      </c>
    </row>
    <row r="95" spans="1:12" x14ac:dyDescent="0.25">
      <c r="A95" s="41">
        <v>2031</v>
      </c>
      <c r="B95" s="41">
        <v>18</v>
      </c>
      <c r="C95" s="206">
        <f>'2 CARRILES HCM'!C96</f>
        <v>12242.196143376144</v>
      </c>
      <c r="D95" s="206">
        <f>'2 CARRILES HCM'!D96</f>
        <v>827.38246776259302</v>
      </c>
      <c r="E95" s="206">
        <f>'2 CARRILES HCM'!E96</f>
        <v>1041.8890334788207</v>
      </c>
      <c r="F95" s="206">
        <f>'2 CARRILES HCM'!F96</f>
        <v>306.43795102318256</v>
      </c>
      <c r="G95" s="206">
        <f>'2 CARRILES HCM'!G96</f>
        <v>314.09889979876215</v>
      </c>
      <c r="H95" s="206">
        <f>'2 CARRILES HCM'!H96</f>
        <v>153.21897551159128</v>
      </c>
      <c r="I95" s="206">
        <f>'2 CARRILES HCM'!I96</f>
        <v>436.67408020803521</v>
      </c>
      <c r="J95" s="207">
        <f t="shared" si="6"/>
        <v>15321.897551159129</v>
      </c>
      <c r="K95" s="107" t="e">
        <f t="shared" si="7"/>
        <v>#VALUE!</v>
      </c>
      <c r="L95" s="69" t="e">
        <f t="shared" si="8"/>
        <v>#VALUE!</v>
      </c>
    </row>
    <row r="96" spans="1:12" x14ac:dyDescent="0.25">
      <c r="A96" s="41">
        <v>2032</v>
      </c>
      <c r="B96" s="41">
        <v>19</v>
      </c>
      <c r="C96" s="206">
        <f>'2 CARRILES HCM'!C97</f>
        <v>12609.462027677428</v>
      </c>
      <c r="D96" s="206">
        <f>'2 CARRILES HCM'!D97</f>
        <v>852.20394179547077</v>
      </c>
      <c r="E96" s="206">
        <f>'2 CARRILES HCM'!E97</f>
        <v>1073.1457044831855</v>
      </c>
      <c r="F96" s="206">
        <f>'2 CARRILES HCM'!F97</f>
        <v>315.63108955387804</v>
      </c>
      <c r="G96" s="206">
        <f>'2 CARRILES HCM'!G97</f>
        <v>323.52186679272501</v>
      </c>
      <c r="H96" s="206">
        <f>'2 CARRILES HCM'!H97</f>
        <v>157.81554477693902</v>
      </c>
      <c r="I96" s="206">
        <f>'2 CARRILES HCM'!I97</f>
        <v>449.77430261427622</v>
      </c>
      <c r="J96" s="207">
        <f t="shared" si="6"/>
        <v>15781.554477693902</v>
      </c>
      <c r="K96" s="107" t="e">
        <f t="shared" si="7"/>
        <v>#VALUE!</v>
      </c>
      <c r="L96" s="69" t="e">
        <f t="shared" si="8"/>
        <v>#VALUE!</v>
      </c>
    </row>
    <row r="97" spans="1:12" x14ac:dyDescent="0.25">
      <c r="A97" s="41">
        <v>2033</v>
      </c>
      <c r="B97" s="41">
        <v>20</v>
      </c>
      <c r="C97" s="206">
        <f>'2 CARRILES HCM'!C98</f>
        <v>12987.74588850775</v>
      </c>
      <c r="D97" s="206">
        <f>'2 CARRILES HCM'!D98</f>
        <v>877.7700600493348</v>
      </c>
      <c r="E97" s="206">
        <f>'2 CARRILES HCM'!E98</f>
        <v>1105.3400756176809</v>
      </c>
      <c r="F97" s="206">
        <f>'2 CARRILES HCM'!F98</f>
        <v>325.10002224049441</v>
      </c>
      <c r="G97" s="206">
        <f>'2 CARRILES HCM'!G98</f>
        <v>333.22752279650672</v>
      </c>
      <c r="H97" s="206">
        <f>'2 CARRILES HCM'!H98</f>
        <v>162.55001112024721</v>
      </c>
      <c r="I97" s="206">
        <f>'2 CARRILES HCM'!I98</f>
        <v>463.26753169270449</v>
      </c>
      <c r="J97" s="207">
        <f t="shared" si="6"/>
        <v>16255.001112024722</v>
      </c>
      <c r="K97" s="107" t="e">
        <f t="shared" si="7"/>
        <v>#VALUE!</v>
      </c>
      <c r="L97" s="69" t="e">
        <f t="shared" si="8"/>
        <v>#VALUE!</v>
      </c>
    </row>
    <row r="98" spans="1:12" x14ac:dyDescent="0.25">
      <c r="A98" s="41">
        <v>2034</v>
      </c>
      <c r="B98" s="41">
        <v>21</v>
      </c>
      <c r="C98" s="206">
        <f>'2 CARRILES HCM'!C99</f>
        <v>13377.378265162981</v>
      </c>
      <c r="D98" s="206">
        <f>'2 CARRILES HCM'!D99</f>
        <v>904.10316185081479</v>
      </c>
      <c r="E98" s="206">
        <f>'2 CARRILES HCM'!E99</f>
        <v>1138.5002778862113</v>
      </c>
      <c r="F98" s="206">
        <f>'2 CARRILES HCM'!F99</f>
        <v>334.85302290770915</v>
      </c>
      <c r="G98" s="206">
        <f>'2 CARRILES HCM'!G99</f>
        <v>343.22434848040189</v>
      </c>
      <c r="H98" s="206">
        <f>'2 CARRILES HCM'!H99</f>
        <v>167.42651145385457</v>
      </c>
      <c r="I98" s="206">
        <f>'2 CARRILES HCM'!I99</f>
        <v>477.16555764348556</v>
      </c>
      <c r="J98" s="207">
        <f t="shared" si="6"/>
        <v>16742.651145385458</v>
      </c>
      <c r="K98" s="107" t="e">
        <f t="shared" si="7"/>
        <v>#VALUE!</v>
      </c>
      <c r="L98" s="69" t="e">
        <f t="shared" si="8"/>
        <v>#VALUE!</v>
      </c>
    </row>
    <row r="99" spans="1:12" x14ac:dyDescent="0.25">
      <c r="A99" s="41">
        <v>2035</v>
      </c>
      <c r="B99" s="41">
        <v>22</v>
      </c>
      <c r="C99" s="206">
        <f>'2 CARRILES HCM'!C100</f>
        <v>13778.699613117873</v>
      </c>
      <c r="D99" s="206">
        <f>'2 CARRILES HCM'!D100</f>
        <v>931.22625670633931</v>
      </c>
      <c r="E99" s="206">
        <f>'2 CARRILES HCM'!E100</f>
        <v>1172.6552862227977</v>
      </c>
      <c r="F99" s="206">
        <f>'2 CARRILES HCM'!F100</f>
        <v>344.89861359494046</v>
      </c>
      <c r="G99" s="206">
        <f>'2 CARRILES HCM'!G100</f>
        <v>353.521078934814</v>
      </c>
      <c r="H99" s="206">
        <f>'2 CARRILES HCM'!H100</f>
        <v>172.44930679747023</v>
      </c>
      <c r="I99" s="206">
        <f>'2 CARRILES HCM'!I100</f>
        <v>491.48052437279017</v>
      </c>
      <c r="J99" s="207">
        <f t="shared" si="6"/>
        <v>17244.930679747024</v>
      </c>
      <c r="K99" s="107" t="e">
        <f t="shared" si="7"/>
        <v>#VALUE!</v>
      </c>
      <c r="L99" s="69" t="e">
        <f t="shared" si="8"/>
        <v>#VALUE!</v>
      </c>
    </row>
    <row r="100" spans="1:12" x14ac:dyDescent="0.25">
      <c r="A100" s="41">
        <v>2036</v>
      </c>
      <c r="B100" s="41">
        <v>23</v>
      </c>
      <c r="C100" s="206">
        <f>'2 CARRILES HCM'!C101</f>
        <v>14192.06060151141</v>
      </c>
      <c r="D100" s="206">
        <f>'2 CARRILES HCM'!D101</f>
        <v>959.16304440752958</v>
      </c>
      <c r="E100" s="206">
        <f>'2 CARRILES HCM'!E101</f>
        <v>1207.8349448094816</v>
      </c>
      <c r="F100" s="206">
        <f>'2 CARRILES HCM'!F101</f>
        <v>355.24557200278872</v>
      </c>
      <c r="G100" s="206">
        <f>'2 CARRILES HCM'!G101</f>
        <v>364.12671130285844</v>
      </c>
      <c r="H100" s="206">
        <f>'2 CARRILES HCM'!H101</f>
        <v>177.62278600139436</v>
      </c>
      <c r="I100" s="206">
        <f>'2 CARRILES HCM'!I101</f>
        <v>506.22494010397395</v>
      </c>
      <c r="J100" s="207">
        <f t="shared" si="6"/>
        <v>17762.278600139434</v>
      </c>
      <c r="K100" s="107" t="e">
        <f t="shared" si="7"/>
        <v>#VALUE!</v>
      </c>
      <c r="L100" s="69" t="e">
        <f t="shared" si="8"/>
        <v>#VALUE!</v>
      </c>
    </row>
    <row r="101" spans="1:12" x14ac:dyDescent="0.25">
      <c r="A101" s="41">
        <v>2037</v>
      </c>
      <c r="B101" s="41">
        <v>24</v>
      </c>
      <c r="C101" s="206">
        <f>'2 CARRILES HCM'!C102</f>
        <v>14617.822419556749</v>
      </c>
      <c r="D101" s="206">
        <f>'2 CARRILES HCM'!D102</f>
        <v>987.93793573975529</v>
      </c>
      <c r="E101" s="206">
        <f>'2 CARRILES HCM'!E102</f>
        <v>1244.0699931537658</v>
      </c>
      <c r="F101" s="206">
        <f>'2 CARRILES HCM'!F102</f>
        <v>365.90293916287231</v>
      </c>
      <c r="G101" s="206">
        <f>'2 CARRILES HCM'!G102</f>
        <v>375.05051264194412</v>
      </c>
      <c r="H101" s="206">
        <f>'2 CARRILES HCM'!H102</f>
        <v>182.95146958143616</v>
      </c>
      <c r="I101" s="206">
        <f>'2 CARRILES HCM'!I102</f>
        <v>521.41168830709307</v>
      </c>
      <c r="J101" s="207">
        <f t="shared" si="6"/>
        <v>18295.146958143618</v>
      </c>
      <c r="K101" s="107" t="e">
        <f t="shared" si="7"/>
        <v>#VALUE!</v>
      </c>
      <c r="L101" s="69" t="e">
        <f t="shared" si="8"/>
        <v>#VALUE!</v>
      </c>
    </row>
    <row r="102" spans="1:12" x14ac:dyDescent="0.25">
      <c r="A102" s="41">
        <v>2038</v>
      </c>
      <c r="B102" s="41">
        <v>25</v>
      </c>
      <c r="C102" s="206">
        <f>'2 CARRILES HCM'!C103</f>
        <v>15056.357092143451</v>
      </c>
      <c r="D102" s="206">
        <f>'2 CARRILES HCM'!D103</f>
        <v>1017.5760738119479</v>
      </c>
      <c r="E102" s="206">
        <f>'2 CARRILES HCM'!E103</f>
        <v>1281.3920929483788</v>
      </c>
      <c r="F102" s="206">
        <f>'2 CARRILES HCM'!F103</f>
        <v>376.88002733775846</v>
      </c>
      <c r="G102" s="206">
        <f>'2 CARRILES HCM'!G103</f>
        <v>386.30202802120243</v>
      </c>
      <c r="H102" s="206">
        <f>'2 CARRILES HCM'!H103</f>
        <v>188.44001366887923</v>
      </c>
      <c r="I102" s="206">
        <f>'2 CARRILES HCM'!I103</f>
        <v>537.05403895630582</v>
      </c>
      <c r="J102" s="207">
        <f t="shared" si="6"/>
        <v>18844.001366887926</v>
      </c>
      <c r="K102" s="107" t="e">
        <f t="shared" si="7"/>
        <v>#VALUE!</v>
      </c>
      <c r="L102" s="69" t="e">
        <f t="shared" si="8"/>
        <v>#VALUE!</v>
      </c>
    </row>
    <row r="103" spans="1:12" x14ac:dyDescent="0.25">
      <c r="A103" s="41">
        <v>2039</v>
      </c>
      <c r="B103" s="41">
        <v>26</v>
      </c>
      <c r="C103" s="206">
        <f>'2 CARRILES HCM'!C104</f>
        <v>15508.047804907757</v>
      </c>
      <c r="D103" s="206">
        <f>'2 CARRILES HCM'!D104</f>
        <v>1048.1033560263065</v>
      </c>
      <c r="E103" s="206">
        <f>'2 CARRILES HCM'!E104</f>
        <v>1319.8338557368304</v>
      </c>
      <c r="F103" s="206">
        <f>'2 CARRILES HCM'!F104</f>
        <v>388.18642815789133</v>
      </c>
      <c r="G103" s="206">
        <f>'2 CARRILES HCM'!G104</f>
        <v>397.89108886183857</v>
      </c>
      <c r="H103" s="206">
        <f>'2 CARRILES HCM'!H104</f>
        <v>194.09321407894566</v>
      </c>
      <c r="I103" s="206">
        <f>'2 CARRILES HCM'!I104</f>
        <v>553.16566012499516</v>
      </c>
      <c r="J103" s="207">
        <f t="shared" si="6"/>
        <v>19409.321407894564</v>
      </c>
      <c r="K103" s="107" t="e">
        <f t="shared" si="7"/>
        <v>#VALUE!</v>
      </c>
      <c r="L103" s="69" t="e">
        <f t="shared" si="8"/>
        <v>#VALUE!</v>
      </c>
    </row>
    <row r="104" spans="1:12" x14ac:dyDescent="0.25">
      <c r="A104" s="41">
        <v>2040</v>
      </c>
      <c r="B104" s="41">
        <v>27</v>
      </c>
      <c r="C104" s="206">
        <f>'2 CARRILES HCM'!C105</f>
        <v>15973.289239054988</v>
      </c>
      <c r="D104" s="206">
        <f>'2 CARRILES HCM'!D105</f>
        <v>1079.5464567070956</v>
      </c>
      <c r="E104" s="206">
        <f>'2 CARRILES HCM'!E105</f>
        <v>1359.4288714089353</v>
      </c>
      <c r="F104" s="206">
        <f>'2 CARRILES HCM'!F105</f>
        <v>399.83202100262798</v>
      </c>
      <c r="G104" s="206">
        <f>'2 CARRILES HCM'!G105</f>
        <v>409.82782152769369</v>
      </c>
      <c r="H104" s="206">
        <f>'2 CARRILES HCM'!H105</f>
        <v>199.91601050131399</v>
      </c>
      <c r="I104" s="206">
        <f>'2 CARRILES HCM'!I105</f>
        <v>569.76062992874483</v>
      </c>
      <c r="J104" s="207">
        <f t="shared" si="6"/>
        <v>19991.601050131398</v>
      </c>
      <c r="K104" s="107" t="e">
        <f t="shared" si="7"/>
        <v>#VALUE!</v>
      </c>
      <c r="L104" s="69" t="e">
        <f t="shared" si="8"/>
        <v>#VALUE!</v>
      </c>
    </row>
    <row r="105" spans="1:12" x14ac:dyDescent="0.25">
      <c r="A105" s="41">
        <v>2041</v>
      </c>
      <c r="B105" s="41">
        <v>28</v>
      </c>
      <c r="C105" s="206">
        <f>'2 CARRILES HCM'!C106</f>
        <v>16452.487916226637</v>
      </c>
      <c r="D105" s="206">
        <f>'2 CARRILES HCM'!D106</f>
        <v>1111.9328504083085</v>
      </c>
      <c r="E105" s="206">
        <f>'2 CARRILES HCM'!E106</f>
        <v>1400.2117375512032</v>
      </c>
      <c r="F105" s="206">
        <f>'2 CARRILES HCM'!F106</f>
        <v>411.82698163270686</v>
      </c>
      <c r="G105" s="206">
        <f>'2 CARRILES HCM'!G106</f>
        <v>422.12265617352449</v>
      </c>
      <c r="H105" s="206">
        <f>'2 CARRILES HCM'!H106</f>
        <v>205.91349081635343</v>
      </c>
      <c r="I105" s="206">
        <f>'2 CARRILES HCM'!I106</f>
        <v>586.85344882660729</v>
      </c>
      <c r="J105" s="207">
        <f t="shared" si="6"/>
        <v>20591.349081635344</v>
      </c>
      <c r="K105" s="107" t="e">
        <f t="shared" si="7"/>
        <v>#VALUE!</v>
      </c>
      <c r="L105" s="69" t="e">
        <f t="shared" si="8"/>
        <v>#VALUE!</v>
      </c>
    </row>
    <row r="106" spans="1:12" x14ac:dyDescent="0.25">
      <c r="A106" s="41">
        <v>2042</v>
      </c>
      <c r="B106" s="41">
        <v>29</v>
      </c>
      <c r="C106" s="206">
        <f>'2 CARRILES HCM'!C107</f>
        <v>16946.062553713437</v>
      </c>
      <c r="D106" s="206">
        <f>'2 CARRILES HCM'!D107</f>
        <v>1145.2908359205576</v>
      </c>
      <c r="E106" s="206">
        <f>'2 CARRILES HCM'!E107</f>
        <v>1442.2180896777393</v>
      </c>
      <c r="F106" s="206">
        <f>'2 CARRILES HCM'!F107</f>
        <v>424.181791081688</v>
      </c>
      <c r="G106" s="206">
        <f>'2 CARRILES HCM'!G107</f>
        <v>434.78633585873018</v>
      </c>
      <c r="H106" s="206">
        <f>'2 CARRILES HCM'!H107</f>
        <v>212.090895540844</v>
      </c>
      <c r="I106" s="206">
        <f>'2 CARRILES HCM'!I107</f>
        <v>604.45905229140544</v>
      </c>
      <c r="J106" s="207">
        <f t="shared" si="6"/>
        <v>21209.089554084399</v>
      </c>
      <c r="K106" s="107" t="e">
        <f t="shared" si="7"/>
        <v>#VALUE!</v>
      </c>
      <c r="L106" s="69" t="e">
        <f t="shared" si="8"/>
        <v>#VALUE!</v>
      </c>
    </row>
    <row r="107" spans="1:12" x14ac:dyDescent="0.25">
      <c r="A107" s="41">
        <v>2043</v>
      </c>
      <c r="B107" s="41">
        <v>30</v>
      </c>
      <c r="C107" s="206">
        <f>'2 CARRILES HCM'!C108</f>
        <v>17454.444430324838</v>
      </c>
      <c r="D107" s="206">
        <f>'2 CARRILES HCM'!D108</f>
        <v>1179.6495609981744</v>
      </c>
      <c r="E107" s="206">
        <f>'2 CARRILES HCM'!E108</f>
        <v>1485.4846323680713</v>
      </c>
      <c r="F107" s="206">
        <f>'2 CARRILES HCM'!F108</f>
        <v>436.90724481413866</v>
      </c>
      <c r="G107" s="206">
        <f>'2 CARRILES HCM'!G108</f>
        <v>447.82992593449211</v>
      </c>
      <c r="H107" s="206">
        <f>'2 CARRILES HCM'!H108</f>
        <v>218.45362240706933</v>
      </c>
      <c r="I107" s="206">
        <f>'2 CARRILES HCM'!I108</f>
        <v>622.59282386014752</v>
      </c>
      <c r="J107" s="207">
        <f t="shared" si="6"/>
        <v>21845.362240706934</v>
      </c>
      <c r="K107" s="107" t="e">
        <f t="shared" si="7"/>
        <v>#VALUE!</v>
      </c>
      <c r="L107" s="69" t="e">
        <f t="shared" si="8"/>
        <v>#VALUE!</v>
      </c>
    </row>
    <row r="108" spans="1:12" x14ac:dyDescent="0.25">
      <c r="A108" s="41">
        <v>2044</v>
      </c>
      <c r="B108" s="41">
        <v>31</v>
      </c>
      <c r="C108" s="206">
        <f>'2 CARRILES HCM'!C109</f>
        <v>17978.077763234585</v>
      </c>
      <c r="D108" s="206">
        <f>'2 CARRILES HCM'!D109</f>
        <v>1215.0390478281197</v>
      </c>
      <c r="E108" s="206">
        <f>'2 CARRILES HCM'!E109</f>
        <v>1530.0491713391139</v>
      </c>
      <c r="F108" s="206">
        <f>'2 CARRILES HCM'!F109</f>
        <v>450.01446215856288</v>
      </c>
      <c r="G108" s="206">
        <f>'2 CARRILES HCM'!G109</f>
        <v>461.26482371252695</v>
      </c>
      <c r="H108" s="206">
        <f>'2 CARRILES HCM'!H109</f>
        <v>225.00723107928144</v>
      </c>
      <c r="I108" s="206">
        <f>'2 CARRILES HCM'!I109</f>
        <v>641.27060857595211</v>
      </c>
      <c r="J108" s="207">
        <f>SUM(C108:I108)</f>
        <v>22500.723107928145</v>
      </c>
      <c r="K108" s="107" t="e">
        <f>F427</f>
        <v>#VALUE!</v>
      </c>
      <c r="L108" s="69" t="e">
        <f>M427</f>
        <v>#VALUE!</v>
      </c>
    </row>
    <row r="109" spans="1:12" ht="15.75" thickBot="1" x14ac:dyDescent="0.3">
      <c r="A109" s="41">
        <v>2045</v>
      </c>
      <c r="B109" s="41">
        <v>32</v>
      </c>
      <c r="C109" s="206">
        <f>'2 CARRILES HCM'!C110</f>
        <v>18517.42009613162</v>
      </c>
      <c r="D109" s="206">
        <f>'2 CARRILES HCM'!D110</f>
        <v>1251.4902192629631</v>
      </c>
      <c r="E109" s="206">
        <f>'2 CARRILES HCM'!E110</f>
        <v>1575.9506464792869</v>
      </c>
      <c r="F109" s="206">
        <f>'2 CARRILES HCM'!F110</f>
        <v>463.51489602331969</v>
      </c>
      <c r="G109" s="206">
        <f>'2 CARRILES HCM'!G110</f>
        <v>475.10276842390266</v>
      </c>
      <c r="H109" s="206">
        <f>'2 CARRILES HCM'!H110</f>
        <v>231.75744801165985</v>
      </c>
      <c r="I109" s="206">
        <f>'2 CARRILES HCM'!I110</f>
        <v>660.50872683323053</v>
      </c>
      <c r="J109" s="207">
        <f>SUM(C109:I109)</f>
        <v>23175.744801165984</v>
      </c>
      <c r="K109" s="107" t="e">
        <f>F428</f>
        <v>#VALUE!</v>
      </c>
      <c r="L109" s="69" t="e">
        <f>M428</f>
        <v>#VALUE!</v>
      </c>
    </row>
    <row r="110" spans="1:12" ht="15.75" thickBot="1" x14ac:dyDescent="0.3">
      <c r="A110" s="70"/>
      <c r="B110" s="71" t="s">
        <v>54</v>
      </c>
      <c r="C110" s="297">
        <f>'2 CARRILES HCM'!C111</f>
        <v>0.03</v>
      </c>
      <c r="D110" s="297">
        <f>'2 CARRILES HCM'!D111</f>
        <v>0.03</v>
      </c>
      <c r="E110" s="297">
        <f>'2 CARRILES HCM'!E111</f>
        <v>0.03</v>
      </c>
      <c r="F110" s="297">
        <f>'2 CARRILES HCM'!F111</f>
        <v>0.03</v>
      </c>
      <c r="G110" s="297">
        <f>'2 CARRILES HCM'!G111</f>
        <v>0.03</v>
      </c>
      <c r="H110" s="297">
        <f>'2 CARRILES HCM'!H111</f>
        <v>0.03</v>
      </c>
      <c r="I110" s="297">
        <f>'2 CARRILES HCM'!I111</f>
        <v>0.03</v>
      </c>
      <c r="J110" s="208">
        <f>SUM(C110:I110)/7</f>
        <v>0.03</v>
      </c>
    </row>
    <row r="115" spans="1:5" x14ac:dyDescent="0.25">
      <c r="A115" t="s">
        <v>373</v>
      </c>
    </row>
    <row r="116" spans="1:5" x14ac:dyDescent="0.25">
      <c r="A116" t="s">
        <v>374</v>
      </c>
    </row>
    <row r="117" spans="1:5" x14ac:dyDescent="0.25">
      <c r="A117" t="s">
        <v>375</v>
      </c>
    </row>
    <row r="119" spans="1:5" x14ac:dyDescent="0.25">
      <c r="B119" s="95">
        <v>2000</v>
      </c>
      <c r="C119" s="35" t="s">
        <v>376</v>
      </c>
      <c r="D119" s="95" t="s">
        <v>377</v>
      </c>
    </row>
    <row r="120" spans="1:5" x14ac:dyDescent="0.25">
      <c r="B120" s="95">
        <v>1900</v>
      </c>
      <c r="C120" s="35" t="s">
        <v>376</v>
      </c>
      <c r="D120" s="95" t="s">
        <v>378</v>
      </c>
    </row>
    <row r="123" spans="1:5" ht="15.75" thickBot="1" x14ac:dyDescent="0.3"/>
    <row r="124" spans="1:5" ht="15.75" thickBot="1" x14ac:dyDescent="0.3">
      <c r="A124" s="189" t="s">
        <v>142</v>
      </c>
      <c r="B124" s="189" t="s">
        <v>143</v>
      </c>
      <c r="D124" s="193" t="s">
        <v>17</v>
      </c>
      <c r="E124" s="193"/>
    </row>
    <row r="125" spans="1:5" x14ac:dyDescent="0.25">
      <c r="A125" s="191">
        <v>100</v>
      </c>
      <c r="B125" s="192">
        <v>0.83</v>
      </c>
      <c r="D125" s="193"/>
      <c r="E125" s="35" t="s">
        <v>143</v>
      </c>
    </row>
    <row r="126" spans="1:5" x14ac:dyDescent="0.25">
      <c r="A126" s="194">
        <f>A125+100</f>
        <v>200</v>
      </c>
      <c r="B126" s="195">
        <v>0.87</v>
      </c>
      <c r="D126" s="193" t="s">
        <v>46</v>
      </c>
      <c r="E126" s="196">
        <v>0.91</v>
      </c>
    </row>
    <row r="127" spans="1:5" x14ac:dyDescent="0.25">
      <c r="A127" s="194">
        <f t="shared" ref="A127:A143" si="9">A126+100</f>
        <v>300</v>
      </c>
      <c r="B127" s="195">
        <v>0.9</v>
      </c>
      <c r="D127" s="193" t="s">
        <v>47</v>
      </c>
      <c r="E127" s="196">
        <v>0.92</v>
      </c>
    </row>
    <row r="128" spans="1:5" x14ac:dyDescent="0.25">
      <c r="A128" s="194">
        <f t="shared" si="9"/>
        <v>400</v>
      </c>
      <c r="B128" s="195">
        <v>0.91</v>
      </c>
      <c r="D128" s="193" t="s">
        <v>144</v>
      </c>
      <c r="E128" s="196">
        <v>0.94</v>
      </c>
    </row>
    <row r="129" spans="1:5" x14ac:dyDescent="0.25">
      <c r="A129" s="194">
        <f t="shared" si="9"/>
        <v>500</v>
      </c>
      <c r="B129" s="195">
        <v>0.91</v>
      </c>
      <c r="D129" s="193" t="s">
        <v>145</v>
      </c>
      <c r="E129" s="196">
        <v>0.95</v>
      </c>
    </row>
    <row r="130" spans="1:5" x14ac:dyDescent="0.25">
      <c r="A130" s="194">
        <f t="shared" si="9"/>
        <v>600</v>
      </c>
      <c r="B130" s="195">
        <v>0.92</v>
      </c>
      <c r="D130" s="193" t="s">
        <v>146</v>
      </c>
      <c r="E130" s="196">
        <v>1</v>
      </c>
    </row>
    <row r="131" spans="1:5" x14ac:dyDescent="0.25">
      <c r="A131" s="194">
        <f t="shared" si="9"/>
        <v>700</v>
      </c>
      <c r="B131" s="195">
        <v>0.92</v>
      </c>
      <c r="D131" s="31"/>
      <c r="E131" s="31"/>
    </row>
    <row r="132" spans="1:5" x14ac:dyDescent="0.25">
      <c r="A132" s="194">
        <f t="shared" si="9"/>
        <v>800</v>
      </c>
      <c r="B132" s="195">
        <v>0.93</v>
      </c>
      <c r="D132" s="31"/>
      <c r="E132" s="31"/>
    </row>
    <row r="133" spans="1:5" x14ac:dyDescent="0.25">
      <c r="A133" s="194">
        <f t="shared" si="9"/>
        <v>900</v>
      </c>
      <c r="B133" s="195">
        <v>0.93</v>
      </c>
      <c r="D133" s="31"/>
      <c r="E133" s="31"/>
    </row>
    <row r="134" spans="1:5" x14ac:dyDescent="0.25">
      <c r="A134" s="194">
        <f t="shared" si="9"/>
        <v>1000</v>
      </c>
      <c r="B134" s="195">
        <v>0.93</v>
      </c>
      <c r="D134" s="31"/>
      <c r="E134" s="31"/>
    </row>
    <row r="135" spans="1:5" x14ac:dyDescent="0.25">
      <c r="A135" s="194">
        <f t="shared" si="9"/>
        <v>1100</v>
      </c>
      <c r="B135" s="195">
        <v>0.94</v>
      </c>
      <c r="D135" s="31"/>
      <c r="E135" s="31"/>
    </row>
    <row r="136" spans="1:5" x14ac:dyDescent="0.25">
      <c r="A136" s="194">
        <f t="shared" si="9"/>
        <v>1200</v>
      </c>
      <c r="B136" s="195">
        <v>0.94</v>
      </c>
    </row>
    <row r="137" spans="1:5" x14ac:dyDescent="0.25">
      <c r="A137" s="159">
        <f t="shared" si="9"/>
        <v>1300</v>
      </c>
      <c r="B137" s="197">
        <v>0.94</v>
      </c>
    </row>
    <row r="138" spans="1:5" x14ac:dyDescent="0.25">
      <c r="A138" s="159">
        <f t="shared" si="9"/>
        <v>1400</v>
      </c>
      <c r="B138" s="197">
        <v>0.94</v>
      </c>
    </row>
    <row r="139" spans="1:5" x14ac:dyDescent="0.25">
      <c r="A139" s="159">
        <f t="shared" si="9"/>
        <v>1500</v>
      </c>
      <c r="B139" s="197">
        <v>0.95</v>
      </c>
    </row>
    <row r="140" spans="1:5" x14ac:dyDescent="0.25">
      <c r="A140" s="159">
        <f t="shared" si="9"/>
        <v>1600</v>
      </c>
      <c r="B140" s="197">
        <v>0.95</v>
      </c>
    </row>
    <row r="141" spans="1:5" x14ac:dyDescent="0.25">
      <c r="A141" s="159">
        <f t="shared" si="9"/>
        <v>1700</v>
      </c>
      <c r="B141" s="197">
        <v>0.95</v>
      </c>
    </row>
    <row r="142" spans="1:5" x14ac:dyDescent="0.25">
      <c r="A142" s="159">
        <f t="shared" si="9"/>
        <v>1800</v>
      </c>
      <c r="B142" s="197">
        <v>0.95</v>
      </c>
    </row>
    <row r="143" spans="1:5" ht="15.75" thickBot="1" x14ac:dyDescent="0.3">
      <c r="A143" s="160">
        <f t="shared" si="9"/>
        <v>1900</v>
      </c>
      <c r="B143" s="198">
        <v>0.96</v>
      </c>
    </row>
    <row r="144" spans="1:5" ht="15.75" thickBot="1" x14ac:dyDescent="0.3">
      <c r="A144" s="219">
        <f>A143+100</f>
        <v>2000</v>
      </c>
      <c r="B144" s="395">
        <v>0.96</v>
      </c>
    </row>
    <row r="145" spans="1:15" x14ac:dyDescent="0.25">
      <c r="A145" s="47"/>
      <c r="B145" s="47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47"/>
    </row>
    <row r="146" spans="1:15" x14ac:dyDescent="0.25">
      <c r="A146" s="253"/>
      <c r="B146" s="45"/>
      <c r="C146" s="253"/>
      <c r="D146" s="253"/>
      <c r="E146" s="253"/>
      <c r="F146" s="253"/>
      <c r="G146" s="253"/>
      <c r="H146" s="253"/>
      <c r="I146" s="253"/>
      <c r="J146" s="253"/>
      <c r="K146" s="253"/>
      <c r="L146" s="253"/>
      <c r="M146" s="253"/>
      <c r="N146" s="253"/>
      <c r="O146" s="253"/>
    </row>
    <row r="147" spans="1:15" x14ac:dyDescent="0.25">
      <c r="A147" s="47" t="s">
        <v>410</v>
      </c>
      <c r="B147" s="113"/>
      <c r="C147" s="353"/>
      <c r="D147" s="47"/>
      <c r="E147" s="113"/>
      <c r="F147" s="47"/>
      <c r="G147" s="394"/>
      <c r="H147" s="350"/>
      <c r="I147" s="350"/>
      <c r="J147" s="47"/>
      <c r="K147" s="350"/>
      <c r="L147" s="61"/>
      <c r="M147" s="61"/>
      <c r="N147" s="61"/>
      <c r="O147" s="394"/>
    </row>
    <row r="148" spans="1:15" x14ac:dyDescent="0.25">
      <c r="A148" t="s">
        <v>379</v>
      </c>
    </row>
    <row r="149" spans="1:15" ht="15.75" thickBot="1" x14ac:dyDescent="0.3">
      <c r="E149" t="s">
        <v>126</v>
      </c>
      <c r="F149" t="s">
        <v>90</v>
      </c>
      <c r="G149" t="s">
        <v>127</v>
      </c>
    </row>
    <row r="150" spans="1:15" ht="15.75" thickBot="1" x14ac:dyDescent="0.3">
      <c r="A150" t="s">
        <v>381</v>
      </c>
      <c r="E150" s="21">
        <f>'DATOS DE ENTRADA'!C38</f>
        <v>1</v>
      </c>
      <c r="F150" s="21">
        <f>'DATOS DE ENTRADA'!C73</f>
        <v>2</v>
      </c>
      <c r="G150" s="21">
        <f>'DATOS DE ENTRADA'!C108</f>
        <v>1</v>
      </c>
    </row>
    <row r="151" spans="1:15" ht="15.75" thickBot="1" x14ac:dyDescent="0.3">
      <c r="A151" t="s">
        <v>382</v>
      </c>
      <c r="E151" s="21">
        <v>1900</v>
      </c>
      <c r="F151" s="21">
        <v>1900</v>
      </c>
      <c r="G151" s="21">
        <v>1900</v>
      </c>
    </row>
    <row r="152" spans="1:15" ht="15.75" thickBot="1" x14ac:dyDescent="0.3">
      <c r="A152" t="s">
        <v>411</v>
      </c>
      <c r="E152" s="414" t="str">
        <f>IF(E154&gt;=3.5,C202,IF(AND(E154&lt;3.5,E154&gt;=3.3),D202,IF(AND(E154&lt;3.3,E154&gt;=3),E202,IF(E154&lt;3,F202))))</f>
        <v>ERROR</v>
      </c>
      <c r="F152" s="414">
        <f>IF(F154&gt;=3.5,C235,IF(AND(F154&lt;3.5,F154&gt;=3.3),D235,IF(AND(F154&lt;3.3,F154&gt;=3),E235,IF(F154&lt;3,F235))))</f>
        <v>0.99</v>
      </c>
      <c r="G152" s="414" t="str">
        <f>IF(G154&gt;=3.5,C267,IF(AND(G154&lt;3.5,G154&gt;=3.3),D267,IF(AND(G154&lt;3.3,G154&gt;=3),E267,IF(G154&lt;3,F267))))</f>
        <v>ERROR</v>
      </c>
    </row>
    <row r="153" spans="1:15" ht="15.75" thickBot="1" x14ac:dyDescent="0.3">
      <c r="A153" t="s">
        <v>485</v>
      </c>
      <c r="E153" s="21">
        <f>'DATOS DE ENTRADA'!C46</f>
        <v>1</v>
      </c>
      <c r="F153" s="21">
        <f>'DATOS DE ENTRADA'!C81</f>
        <v>1.6</v>
      </c>
      <c r="G153" s="21">
        <f>'DATOS DE ENTRADA'!C116</f>
        <v>1</v>
      </c>
    </row>
    <row r="154" spans="1:15" ht="15.75" thickBot="1" x14ac:dyDescent="0.3">
      <c r="A154" t="s">
        <v>390</v>
      </c>
      <c r="E154" s="21">
        <f>'DATOS DE ENTRADA'!C45</f>
        <v>3.3</v>
      </c>
      <c r="F154" s="21">
        <f>'DATOS DE ENTRADA'!C80</f>
        <v>3.6</v>
      </c>
      <c r="G154" s="21">
        <f>'DATOS DE ENTRADA'!C115</f>
        <v>3.3</v>
      </c>
    </row>
    <row r="155" spans="1:15" ht="15.75" thickBot="1" x14ac:dyDescent="0.3">
      <c r="A155" t="s">
        <v>414</v>
      </c>
      <c r="E155" s="21" t="s">
        <v>415</v>
      </c>
      <c r="F155" s="21" t="s">
        <v>416</v>
      </c>
      <c r="G155" s="21" t="s">
        <v>415</v>
      </c>
    </row>
    <row r="156" spans="1:15" ht="15.75" thickBot="1" x14ac:dyDescent="0.3">
      <c r="A156" t="s">
        <v>412</v>
      </c>
      <c r="E156" s="413">
        <v>1</v>
      </c>
      <c r="F156" s="413">
        <v>1</v>
      </c>
      <c r="G156" s="413">
        <v>1</v>
      </c>
    </row>
    <row r="157" spans="1:15" ht="15.75" thickBot="1" x14ac:dyDescent="0.3">
      <c r="A157" t="s">
        <v>413</v>
      </c>
      <c r="E157" s="412">
        <f>1/(1+E159*(D212-1)+E160*(1-D213)+E161*(1-D214))</f>
        <v>1.0377965503642665</v>
      </c>
      <c r="F157" s="412">
        <f>1/(1+F159*(D245-1)+F160*(1-D246)+F161*(1-D247))</f>
        <v>1.0377965503642665</v>
      </c>
      <c r="G157" s="412">
        <f>1/(1+G159*(D277-1)+G160*(1-D278)+G161*(1-D279))</f>
        <v>1.0377965503642665</v>
      </c>
    </row>
    <row r="158" spans="1:15" ht="15.75" thickBot="1" x14ac:dyDescent="0.3">
      <c r="A158" t="s">
        <v>403</v>
      </c>
      <c r="E158" s="225" t="str">
        <f>'DATOS DE ENTRADA'!C44</f>
        <v>P</v>
      </c>
      <c r="F158" s="21" t="str">
        <f>'DATOS DE ENTRADA'!C79</f>
        <v>P</v>
      </c>
      <c r="G158" s="21" t="str">
        <f>'DATOS DE ENTRADA'!C114</f>
        <v>P</v>
      </c>
    </row>
    <row r="159" spans="1:15" ht="15.75" thickBot="1" x14ac:dyDescent="0.3">
      <c r="A159" t="s">
        <v>404</v>
      </c>
      <c r="D159" s="407" t="s">
        <v>405</v>
      </c>
      <c r="E159" s="409">
        <f>SUM('DATOS DE ENTRADA'!C13:C17)/5</f>
        <v>2.9400000000000003E-2</v>
      </c>
      <c r="F159" s="421">
        <f>SUM('DATOS DE ENTRADA'!C28:C32)/5</f>
        <v>2.9400000000000003E-2</v>
      </c>
      <c r="G159" s="423">
        <f>E159</f>
        <v>2.9400000000000003E-2</v>
      </c>
    </row>
    <row r="160" spans="1:15" ht="15.75" thickBot="1" x14ac:dyDescent="0.3">
      <c r="D160" s="408" t="s">
        <v>406</v>
      </c>
      <c r="E160" s="410">
        <f>'DATOS DE ENTRADA'!C12</f>
        <v>5.3999999999999999E-2</v>
      </c>
      <c r="F160" s="422">
        <f>'DATOS DE ENTRADA'!C27</f>
        <v>5.3999999999999999E-2</v>
      </c>
      <c r="G160" s="422">
        <f>E160</f>
        <v>5.3999999999999999E-2</v>
      </c>
    </row>
    <row r="161" spans="1:10" ht="15.75" thickBot="1" x14ac:dyDescent="0.3">
      <c r="D161" s="404" t="s">
        <v>407</v>
      </c>
      <c r="E161" s="411">
        <f>'DATOS DE ENTRADA'!C42</f>
        <v>0.05</v>
      </c>
      <c r="F161" s="420">
        <f>'DATOS DE ENTRADA'!C77</f>
        <v>0.05</v>
      </c>
      <c r="G161" s="422">
        <f>E161</f>
        <v>0.05</v>
      </c>
    </row>
    <row r="162" spans="1:10" ht="15.75" thickBot="1" x14ac:dyDescent="0.3">
      <c r="A162" t="s">
        <v>422</v>
      </c>
      <c r="E162" s="21">
        <f>'DATOS DE ENTRADA'!C43</f>
        <v>100</v>
      </c>
      <c r="F162" s="21">
        <f>'DATOS DE ENTRADA'!C78</f>
        <v>100</v>
      </c>
      <c r="G162" s="21">
        <f>'DATOS DE ENTRADA'!C113</f>
        <v>100</v>
      </c>
    </row>
    <row r="166" spans="1:10" ht="15.75" thickBot="1" x14ac:dyDescent="0.3">
      <c r="A166" t="s">
        <v>383</v>
      </c>
    </row>
    <row r="167" spans="1:10" ht="15.75" thickBot="1" x14ac:dyDescent="0.3">
      <c r="A167" s="601" t="s">
        <v>384</v>
      </c>
      <c r="B167" s="601" t="s">
        <v>385</v>
      </c>
      <c r="C167" s="399" t="s">
        <v>386</v>
      </c>
      <c r="D167" s="399"/>
      <c r="E167" s="399"/>
      <c r="F167" s="399"/>
      <c r="G167" s="399" t="s">
        <v>386</v>
      </c>
      <c r="H167" s="399"/>
      <c r="I167" s="399"/>
      <c r="J167" s="400"/>
    </row>
    <row r="168" spans="1:10" ht="15.75" customHeight="1" thickBot="1" x14ac:dyDescent="0.3">
      <c r="A168" s="602"/>
      <c r="B168" s="602"/>
      <c r="C168" s="156">
        <v>3.5</v>
      </c>
      <c r="D168" s="101">
        <v>3.3</v>
      </c>
      <c r="E168" s="101">
        <v>3</v>
      </c>
      <c r="F168" s="102">
        <v>2.7</v>
      </c>
      <c r="G168" s="156">
        <v>3.5</v>
      </c>
      <c r="H168" s="101">
        <v>3.3</v>
      </c>
      <c r="I168" s="101">
        <v>3</v>
      </c>
      <c r="J168" s="102">
        <v>2.7</v>
      </c>
    </row>
    <row r="169" spans="1:10" x14ac:dyDescent="0.25">
      <c r="A169" s="603">
        <v>4</v>
      </c>
      <c r="B169" s="401">
        <v>1.8</v>
      </c>
      <c r="C169" s="90">
        <v>1</v>
      </c>
      <c r="D169" s="91">
        <v>0.97</v>
      </c>
      <c r="E169" s="91">
        <v>0.91</v>
      </c>
      <c r="F169" s="92">
        <v>0.81</v>
      </c>
      <c r="G169" s="90">
        <v>1</v>
      </c>
      <c r="H169" s="91">
        <v>0.97</v>
      </c>
      <c r="I169" s="91">
        <v>0.91</v>
      </c>
      <c r="J169" s="92">
        <v>0.81</v>
      </c>
    </row>
    <row r="170" spans="1:10" x14ac:dyDescent="0.25">
      <c r="A170" s="604"/>
      <c r="B170" s="402">
        <v>1.5</v>
      </c>
      <c r="C170" s="94">
        <v>0.99</v>
      </c>
      <c r="D170" s="95">
        <v>0.96</v>
      </c>
      <c r="E170" s="95">
        <v>0.9</v>
      </c>
      <c r="F170" s="96">
        <v>0.8</v>
      </c>
      <c r="G170" s="94">
        <v>0.99</v>
      </c>
      <c r="H170" s="95">
        <v>0.96</v>
      </c>
      <c r="I170" s="95">
        <v>0.9</v>
      </c>
      <c r="J170" s="96">
        <v>0.8</v>
      </c>
    </row>
    <row r="171" spans="1:10" x14ac:dyDescent="0.25">
      <c r="A171" s="604"/>
      <c r="B171" s="402">
        <v>1.2</v>
      </c>
      <c r="C171" s="94">
        <v>0.99</v>
      </c>
      <c r="D171" s="95">
        <v>0.96</v>
      </c>
      <c r="E171" s="95">
        <v>0.9</v>
      </c>
      <c r="F171" s="96">
        <v>0.8</v>
      </c>
      <c r="G171" s="94">
        <v>0.98</v>
      </c>
      <c r="H171" s="95">
        <v>0.95</v>
      </c>
      <c r="I171" s="95">
        <v>0.89</v>
      </c>
      <c r="J171" s="96">
        <v>0.79</v>
      </c>
    </row>
    <row r="172" spans="1:10" x14ac:dyDescent="0.25">
      <c r="A172" s="604"/>
      <c r="B172" s="402">
        <v>0.9</v>
      </c>
      <c r="C172" s="94">
        <v>0.98</v>
      </c>
      <c r="D172" s="95">
        <v>0.95</v>
      </c>
      <c r="E172" s="95">
        <v>0.88</v>
      </c>
      <c r="F172" s="96">
        <v>0.79</v>
      </c>
      <c r="G172" s="94">
        <v>0.96</v>
      </c>
      <c r="H172" s="95">
        <v>0.93</v>
      </c>
      <c r="I172" s="95">
        <v>0.87</v>
      </c>
      <c r="J172" s="96">
        <v>0.77</v>
      </c>
    </row>
    <row r="173" spans="1:10" x14ac:dyDescent="0.25">
      <c r="A173" s="604"/>
      <c r="B173" s="402">
        <v>0.6</v>
      </c>
      <c r="C173" s="94">
        <v>0.97</v>
      </c>
      <c r="D173" s="95">
        <v>0.94</v>
      </c>
      <c r="E173" s="95">
        <v>0.88</v>
      </c>
      <c r="F173" s="96">
        <v>0.79</v>
      </c>
      <c r="G173" s="94">
        <v>0.94</v>
      </c>
      <c r="H173" s="95">
        <v>0.91</v>
      </c>
      <c r="I173" s="95">
        <v>0.86</v>
      </c>
      <c r="J173" s="96">
        <v>0.76</v>
      </c>
    </row>
    <row r="174" spans="1:10" x14ac:dyDescent="0.25">
      <c r="A174" s="604"/>
      <c r="B174" s="402">
        <v>0.3</v>
      </c>
      <c r="C174" s="94">
        <v>0.93</v>
      </c>
      <c r="D174" s="95">
        <v>0.9</v>
      </c>
      <c r="E174" s="95">
        <v>0.85</v>
      </c>
      <c r="F174" s="96">
        <v>0.76</v>
      </c>
      <c r="G174" s="94">
        <v>0.87</v>
      </c>
      <c r="H174" s="95">
        <v>0.85</v>
      </c>
      <c r="I174" s="95">
        <v>0.8</v>
      </c>
      <c r="J174" s="96">
        <v>0.71</v>
      </c>
    </row>
    <row r="175" spans="1:10" ht="15.75" thickBot="1" x14ac:dyDescent="0.3">
      <c r="A175" s="605"/>
      <c r="B175" s="403">
        <v>0</v>
      </c>
      <c r="C175" s="98">
        <v>0.9</v>
      </c>
      <c r="D175" s="99">
        <v>0.87</v>
      </c>
      <c r="E175" s="99">
        <v>0.82</v>
      </c>
      <c r="F175" s="100">
        <v>0.73</v>
      </c>
      <c r="G175" s="98">
        <v>0.81</v>
      </c>
      <c r="H175" s="99">
        <v>0.79</v>
      </c>
      <c r="I175" s="99">
        <v>0.74</v>
      </c>
      <c r="J175" s="100">
        <v>0.66</v>
      </c>
    </row>
    <row r="176" spans="1:10" x14ac:dyDescent="0.25">
      <c r="A176" s="603" t="s">
        <v>387</v>
      </c>
      <c r="B176" s="401">
        <v>1.8</v>
      </c>
      <c r="C176" s="90">
        <v>1</v>
      </c>
      <c r="D176" s="91">
        <v>0.96</v>
      </c>
      <c r="E176" s="91">
        <v>0.89</v>
      </c>
      <c r="F176" s="92">
        <v>0.78</v>
      </c>
      <c r="G176" s="90">
        <v>1</v>
      </c>
      <c r="H176" s="91">
        <v>0.96</v>
      </c>
      <c r="I176" s="91">
        <v>0.89</v>
      </c>
      <c r="J176" s="92">
        <v>0.78</v>
      </c>
    </row>
    <row r="177" spans="1:10" x14ac:dyDescent="0.25">
      <c r="A177" s="604"/>
      <c r="B177" s="402">
        <v>1.5</v>
      </c>
      <c r="C177" s="94">
        <v>0.99</v>
      </c>
      <c r="D177" s="95">
        <v>0.95</v>
      </c>
      <c r="E177" s="95">
        <v>0.88</v>
      </c>
      <c r="F177" s="96">
        <v>0.77</v>
      </c>
      <c r="G177" s="94">
        <v>0.99</v>
      </c>
      <c r="H177" s="95">
        <v>0.95</v>
      </c>
      <c r="I177" s="95">
        <v>0.88</v>
      </c>
      <c r="J177" s="96">
        <v>0.77</v>
      </c>
    </row>
    <row r="178" spans="1:10" x14ac:dyDescent="0.25">
      <c r="A178" s="604"/>
      <c r="B178" s="402">
        <v>1.2</v>
      </c>
      <c r="C178" s="94">
        <v>0.99</v>
      </c>
      <c r="D178" s="95">
        <v>0.95</v>
      </c>
      <c r="E178" s="95">
        <v>0.88</v>
      </c>
      <c r="F178" s="96">
        <v>0.77</v>
      </c>
      <c r="G178" s="94">
        <v>0.98</v>
      </c>
      <c r="H178" s="95">
        <v>0.94</v>
      </c>
      <c r="I178" s="95">
        <v>0.87</v>
      </c>
      <c r="J178" s="96">
        <v>0.77</v>
      </c>
    </row>
    <row r="179" spans="1:10" x14ac:dyDescent="0.25">
      <c r="A179" s="604"/>
      <c r="B179" s="402">
        <v>0.9</v>
      </c>
      <c r="C179" s="94">
        <v>0.98</v>
      </c>
      <c r="D179" s="95">
        <v>0.94</v>
      </c>
      <c r="E179" s="95">
        <v>0.87</v>
      </c>
      <c r="F179" s="96">
        <v>0.76</v>
      </c>
      <c r="G179" s="94">
        <v>0.97</v>
      </c>
      <c r="H179" s="95">
        <v>0.93</v>
      </c>
      <c r="I179" s="95">
        <v>0.86</v>
      </c>
      <c r="J179" s="96">
        <v>0.76</v>
      </c>
    </row>
    <row r="180" spans="1:10" x14ac:dyDescent="0.25">
      <c r="A180" s="604"/>
      <c r="B180" s="402">
        <v>0.6</v>
      </c>
      <c r="C180" s="94">
        <v>0.97</v>
      </c>
      <c r="D180" s="95">
        <v>0.93</v>
      </c>
      <c r="E180" s="95">
        <v>0.87</v>
      </c>
      <c r="F180" s="96">
        <v>0.76</v>
      </c>
      <c r="G180" s="94">
        <v>0.96</v>
      </c>
      <c r="H180" s="95">
        <v>0.92</v>
      </c>
      <c r="I180" s="95">
        <v>0.85</v>
      </c>
      <c r="J180" s="96">
        <v>0.75</v>
      </c>
    </row>
    <row r="181" spans="1:10" x14ac:dyDescent="0.25">
      <c r="A181" s="604"/>
      <c r="B181" s="402">
        <v>0.3</v>
      </c>
      <c r="C181" s="94">
        <v>0.95</v>
      </c>
      <c r="D181" s="95">
        <v>0.92</v>
      </c>
      <c r="E181" s="95">
        <v>0.86</v>
      </c>
      <c r="F181" s="96">
        <v>0.75</v>
      </c>
      <c r="G181" s="94">
        <v>0.93</v>
      </c>
      <c r="H181" s="95">
        <v>0.89</v>
      </c>
      <c r="I181" s="95">
        <v>0.83</v>
      </c>
      <c r="J181" s="96">
        <v>0.72</v>
      </c>
    </row>
    <row r="182" spans="1:10" ht="15.75" thickBot="1" x14ac:dyDescent="0.3">
      <c r="A182" s="605"/>
      <c r="B182" s="403">
        <v>0</v>
      </c>
      <c r="C182" s="98">
        <v>0.94</v>
      </c>
      <c r="D182" s="99">
        <v>0.91</v>
      </c>
      <c r="E182" s="99">
        <v>0.85</v>
      </c>
      <c r="F182" s="100">
        <v>0.74</v>
      </c>
      <c r="G182" s="98">
        <v>0.91</v>
      </c>
      <c r="H182" s="99">
        <v>0.87</v>
      </c>
      <c r="I182" s="99">
        <v>0.81</v>
      </c>
      <c r="J182" s="100">
        <v>0.7</v>
      </c>
    </row>
    <row r="184" spans="1:10" ht="15.75" thickBot="1" x14ac:dyDescent="0.3">
      <c r="A184" t="s">
        <v>388</v>
      </c>
    </row>
    <row r="185" spans="1:10" ht="15.75" thickBot="1" x14ac:dyDescent="0.3">
      <c r="A185" s="601" t="s">
        <v>384</v>
      </c>
      <c r="B185" s="601" t="s">
        <v>385</v>
      </c>
      <c r="C185" s="399" t="s">
        <v>386</v>
      </c>
      <c r="D185" s="399"/>
      <c r="E185" s="399"/>
      <c r="F185" s="399"/>
      <c r="G185" s="399" t="s">
        <v>386</v>
      </c>
      <c r="H185" s="399"/>
      <c r="I185" s="399"/>
      <c r="J185" s="400"/>
    </row>
    <row r="186" spans="1:10" ht="15.75" thickBot="1" x14ac:dyDescent="0.3">
      <c r="A186" s="602"/>
      <c r="B186" s="602"/>
      <c r="C186" s="398">
        <v>3.5</v>
      </c>
      <c r="D186" s="399">
        <v>3.3</v>
      </c>
      <c r="E186" s="399">
        <v>3</v>
      </c>
      <c r="F186" s="405">
        <v>2.7</v>
      </c>
      <c r="G186" s="398">
        <v>3.5</v>
      </c>
      <c r="H186" s="399">
        <v>3.3</v>
      </c>
      <c r="I186" s="399">
        <v>3</v>
      </c>
      <c r="J186" s="400">
        <v>2.7</v>
      </c>
    </row>
    <row r="187" spans="1:10" x14ac:dyDescent="0.25">
      <c r="A187" s="606" t="str">
        <f>IF($E$150*2=4,A169,IF($E$150*2=6,A176,IF($E$150*2=8,A176,"ERROR")))</f>
        <v>ERROR</v>
      </c>
      <c r="B187" s="157" t="str">
        <f>IF($E$150*2=4,B169,IF($E$150*2=6,B176,IF($E$150*2=8,B176,"ERROR")))</f>
        <v>ERROR</v>
      </c>
      <c r="C187" s="158" t="str">
        <f>IF($E$150*2=4,$C$169,IF($E$150*2=6,$C$176,IF($E$150*2=8,$C$176,"ERROR")))</f>
        <v>ERROR</v>
      </c>
      <c r="D187" s="91" t="str">
        <f t="shared" ref="D187:J187" si="10">IF($E$150*2=4,D169,IF($E$150*2=6,D176,IF($E$150*2=8,D176,"ERROR")))</f>
        <v>ERROR</v>
      </c>
      <c r="E187" s="91" t="str">
        <f t="shared" si="10"/>
        <v>ERROR</v>
      </c>
      <c r="F187" s="214" t="str">
        <f t="shared" si="10"/>
        <v>ERROR</v>
      </c>
      <c r="G187" s="90" t="str">
        <f t="shared" si="10"/>
        <v>ERROR</v>
      </c>
      <c r="H187" s="91" t="str">
        <f t="shared" si="10"/>
        <v>ERROR</v>
      </c>
      <c r="I187" s="91" t="str">
        <f t="shared" si="10"/>
        <v>ERROR</v>
      </c>
      <c r="J187" s="92" t="str">
        <f t="shared" si="10"/>
        <v>ERROR</v>
      </c>
    </row>
    <row r="188" spans="1:10" x14ac:dyDescent="0.25">
      <c r="A188" s="607" t="str">
        <f t="shared" ref="A188:B193" si="11">IF($E$150*2=4,A170,IF($E$150*2=6,A177,IF($E$150*2=8,A177,"ERROR")))</f>
        <v>ERROR</v>
      </c>
      <c r="B188" s="159" t="str">
        <f t="shared" si="11"/>
        <v>ERROR</v>
      </c>
      <c r="C188" s="396" t="str">
        <f t="shared" ref="C188:J193" si="12">IF($E$150*2=4,C170,IF($E$150*2=6,C177,IF($E$150*2=8,C177,"ERROR")))</f>
        <v>ERROR</v>
      </c>
      <c r="D188" s="95" t="str">
        <f t="shared" si="12"/>
        <v>ERROR</v>
      </c>
      <c r="E188" s="95" t="str">
        <f t="shared" si="12"/>
        <v>ERROR</v>
      </c>
      <c r="F188" s="174" t="str">
        <f t="shared" si="12"/>
        <v>ERROR</v>
      </c>
      <c r="G188" s="94" t="str">
        <f t="shared" si="12"/>
        <v>ERROR</v>
      </c>
      <c r="H188" s="95" t="str">
        <f t="shared" si="12"/>
        <v>ERROR</v>
      </c>
      <c r="I188" s="95" t="str">
        <f t="shared" si="12"/>
        <v>ERROR</v>
      </c>
      <c r="J188" s="96" t="str">
        <f t="shared" si="12"/>
        <v>ERROR</v>
      </c>
    </row>
    <row r="189" spans="1:10" x14ac:dyDescent="0.25">
      <c r="A189" s="607" t="str">
        <f t="shared" si="11"/>
        <v>ERROR</v>
      </c>
      <c r="B189" s="159" t="str">
        <f t="shared" si="11"/>
        <v>ERROR</v>
      </c>
      <c r="C189" s="396" t="str">
        <f t="shared" si="12"/>
        <v>ERROR</v>
      </c>
      <c r="D189" s="95" t="str">
        <f t="shared" si="12"/>
        <v>ERROR</v>
      </c>
      <c r="E189" s="95" t="str">
        <f t="shared" si="12"/>
        <v>ERROR</v>
      </c>
      <c r="F189" s="174" t="str">
        <f t="shared" si="12"/>
        <v>ERROR</v>
      </c>
      <c r="G189" s="94" t="str">
        <f t="shared" si="12"/>
        <v>ERROR</v>
      </c>
      <c r="H189" s="95" t="str">
        <f t="shared" si="12"/>
        <v>ERROR</v>
      </c>
      <c r="I189" s="95" t="str">
        <f t="shared" si="12"/>
        <v>ERROR</v>
      </c>
      <c r="J189" s="96" t="str">
        <f t="shared" si="12"/>
        <v>ERROR</v>
      </c>
    </row>
    <row r="190" spans="1:10" x14ac:dyDescent="0.25">
      <c r="A190" s="607" t="str">
        <f t="shared" si="11"/>
        <v>ERROR</v>
      </c>
      <c r="B190" s="159" t="str">
        <f t="shared" si="11"/>
        <v>ERROR</v>
      </c>
      <c r="C190" s="396" t="str">
        <f t="shared" si="12"/>
        <v>ERROR</v>
      </c>
      <c r="D190" s="95" t="str">
        <f t="shared" si="12"/>
        <v>ERROR</v>
      </c>
      <c r="E190" s="95" t="str">
        <f t="shared" si="12"/>
        <v>ERROR</v>
      </c>
      <c r="F190" s="174" t="str">
        <f t="shared" si="12"/>
        <v>ERROR</v>
      </c>
      <c r="G190" s="94" t="str">
        <f t="shared" si="12"/>
        <v>ERROR</v>
      </c>
      <c r="H190" s="95" t="str">
        <f t="shared" si="12"/>
        <v>ERROR</v>
      </c>
      <c r="I190" s="95" t="str">
        <f t="shared" si="12"/>
        <v>ERROR</v>
      </c>
      <c r="J190" s="96" t="str">
        <f t="shared" si="12"/>
        <v>ERROR</v>
      </c>
    </row>
    <row r="191" spans="1:10" x14ac:dyDescent="0.25">
      <c r="A191" s="607" t="str">
        <f t="shared" si="11"/>
        <v>ERROR</v>
      </c>
      <c r="B191" s="159" t="str">
        <f t="shared" si="11"/>
        <v>ERROR</v>
      </c>
      <c r="C191" s="396" t="str">
        <f t="shared" si="12"/>
        <v>ERROR</v>
      </c>
      <c r="D191" s="95" t="str">
        <f t="shared" si="12"/>
        <v>ERROR</v>
      </c>
      <c r="E191" s="95" t="str">
        <f t="shared" si="12"/>
        <v>ERROR</v>
      </c>
      <c r="F191" s="174" t="str">
        <f t="shared" si="12"/>
        <v>ERROR</v>
      </c>
      <c r="G191" s="94" t="str">
        <f t="shared" si="12"/>
        <v>ERROR</v>
      </c>
      <c r="H191" s="95" t="str">
        <f t="shared" si="12"/>
        <v>ERROR</v>
      </c>
      <c r="I191" s="95" t="str">
        <f t="shared" si="12"/>
        <v>ERROR</v>
      </c>
      <c r="J191" s="96" t="str">
        <f t="shared" si="12"/>
        <v>ERROR</v>
      </c>
    </row>
    <row r="192" spans="1:10" x14ac:dyDescent="0.25">
      <c r="A192" s="607" t="str">
        <f t="shared" si="11"/>
        <v>ERROR</v>
      </c>
      <c r="B192" s="159" t="str">
        <f t="shared" si="11"/>
        <v>ERROR</v>
      </c>
      <c r="C192" s="396" t="str">
        <f t="shared" si="12"/>
        <v>ERROR</v>
      </c>
      <c r="D192" s="95" t="str">
        <f t="shared" si="12"/>
        <v>ERROR</v>
      </c>
      <c r="E192" s="95" t="str">
        <f t="shared" si="12"/>
        <v>ERROR</v>
      </c>
      <c r="F192" s="174" t="str">
        <f t="shared" si="12"/>
        <v>ERROR</v>
      </c>
      <c r="G192" s="94" t="str">
        <f t="shared" si="12"/>
        <v>ERROR</v>
      </c>
      <c r="H192" s="95" t="str">
        <f t="shared" si="12"/>
        <v>ERROR</v>
      </c>
      <c r="I192" s="95" t="str">
        <f t="shared" si="12"/>
        <v>ERROR</v>
      </c>
      <c r="J192" s="96" t="str">
        <f t="shared" si="12"/>
        <v>ERROR</v>
      </c>
    </row>
    <row r="193" spans="1:10" ht="15.75" thickBot="1" x14ac:dyDescent="0.3">
      <c r="A193" s="608" t="str">
        <f t="shared" si="11"/>
        <v>ERROR</v>
      </c>
      <c r="B193" s="160" t="str">
        <f t="shared" si="11"/>
        <v>ERROR</v>
      </c>
      <c r="C193" s="397" t="str">
        <f>IF($E$150*2=4,C175,IF($E$150*2=6,C182,IF($E$150*2=8,C182,"ERROR")))</f>
        <v>ERROR</v>
      </c>
      <c r="D193" s="397" t="str">
        <f>IF($E$150*2=4,D175,IF($E$150*2=6,D182,IF($E$150*2=8,D182,"ERROR")))</f>
        <v>ERROR</v>
      </c>
      <c r="E193" s="397" t="str">
        <f t="shared" si="12"/>
        <v>ERROR</v>
      </c>
      <c r="F193" s="397" t="str">
        <f t="shared" si="12"/>
        <v>ERROR</v>
      </c>
      <c r="G193" s="397" t="str">
        <f t="shared" si="12"/>
        <v>ERROR</v>
      </c>
      <c r="H193" s="397" t="str">
        <f t="shared" si="12"/>
        <v>ERROR</v>
      </c>
      <c r="I193" s="397" t="str">
        <f t="shared" si="12"/>
        <v>ERROR</v>
      </c>
      <c r="J193" s="397" t="str">
        <f>IF($E$150*2=4,J175,IF($E$150*2=6,J182,IF($E$150*2=8,J182,"ERROR")))</f>
        <v>ERROR</v>
      </c>
    </row>
    <row r="195" spans="1:10" ht="15.75" thickBot="1" x14ac:dyDescent="0.3">
      <c r="A195" s="60" t="s">
        <v>389</v>
      </c>
      <c r="B195" s="60"/>
      <c r="C195" s="60"/>
      <c r="D195" s="60"/>
      <c r="E195" s="60"/>
      <c r="F195" s="60"/>
      <c r="G195" s="60"/>
      <c r="H195" s="60"/>
      <c r="I195" s="60"/>
      <c r="J195" s="60"/>
    </row>
    <row r="196" spans="1:10" ht="15.75" thickBot="1" x14ac:dyDescent="0.3">
      <c r="A196" s="60"/>
      <c r="B196" s="599" t="s">
        <v>385</v>
      </c>
      <c r="C196" s="415" t="s">
        <v>386</v>
      </c>
      <c r="D196" s="415"/>
      <c r="E196" s="415"/>
      <c r="F196" s="415"/>
      <c r="G196" s="415" t="s">
        <v>386</v>
      </c>
      <c r="H196" s="415"/>
      <c r="I196" s="415"/>
      <c r="J196" s="416"/>
    </row>
    <row r="197" spans="1:10" ht="15.75" thickBot="1" x14ac:dyDescent="0.3">
      <c r="A197" s="60"/>
      <c r="B197" s="600"/>
      <c r="C197" s="417">
        <v>3.5</v>
      </c>
      <c r="D197" s="415">
        <v>3.3</v>
      </c>
      <c r="E197" s="415">
        <v>3</v>
      </c>
      <c r="F197" s="418">
        <v>2.7</v>
      </c>
      <c r="G197" s="417">
        <v>3.5</v>
      </c>
      <c r="H197" s="415">
        <v>3.3</v>
      </c>
      <c r="I197" s="415">
        <v>3</v>
      </c>
      <c r="J197" s="416">
        <v>2.7</v>
      </c>
    </row>
    <row r="198" spans="1:10" ht="15.75" thickBot="1" x14ac:dyDescent="0.3">
      <c r="A198" s="60"/>
      <c r="B198" s="406" t="str">
        <f>IF($E$153&gt;=1.8,B187,IF(AND($E$153&lt;1.8,$E$153&gt;=1.5),B188,IF(AND($E$153&lt;1.5,$E$153&gt;=1.2),B189,IF(AND($E$153&lt;1.2,$E$153&gt;=0.9),B190,IF(AND($E$153&lt;0.9,$E$153&gt;=0.6),B191,IF(AND($E$153&lt;0.6,$E$153&gt;=0.3),B192,IF($E$153&lt;0.3,$B$193)))))))</f>
        <v>ERROR</v>
      </c>
      <c r="C198" s="419" t="str">
        <f>IF($E$153&gt;=1.8,C187,IF(AND($E$153&lt;1.8,$E$153&gt;=1.5),C188,IF(AND($E$153&lt;1.5,$E$153&gt;=1.2),C189,IF(AND($E$153&lt;1.2,$E$153&gt;=0.9),C190,IF(AND($E$153&lt;0.9,$E$153&gt;=0.6),C191,IF(AND($E$153&lt;0.6,$E$153&gt;=0.3),C192,IF($E$153&lt;0.3,C193)))))))</f>
        <v>ERROR</v>
      </c>
      <c r="D198" s="419" t="str">
        <f>IF($E$153&gt;=1.8,D187,IF(AND($E$153&lt;1.8,$E$153&gt;=1.5),D188,IF(AND($E$153&lt;1.5,$E$153&gt;=1.2),D189,IF(AND($E$153&lt;1.2,$E$153&gt;=0.9),D190,IF(AND($E$153&lt;0.9,$E$153&gt;=0.6),D191,IF(AND($E$153&lt;0.6,$E$153&gt;=0.3),D192,IF($E$153&lt;0.3,D193)))))))</f>
        <v>ERROR</v>
      </c>
      <c r="E198" s="419" t="str">
        <f t="shared" ref="E198:J198" si="13">IF($E$153&gt;=1.8,E187,IF(AND($E$153&lt;1.8,$E$153&gt;=1.5),E188,IF(AND($E$153&lt;1.5,$E$153&gt;=1.2),E189,IF(AND($E$153&lt;1.2,$E$153&gt;=0.9),E190,IF(AND($E$153&lt;0.9,$E$153&gt;=0.6),E191,IF(AND($E$153&lt;0.6,$E$153&gt;=0.3),E192,IF($E$153&lt;0.3,E193)))))))</f>
        <v>ERROR</v>
      </c>
      <c r="F198" s="419" t="str">
        <f t="shared" si="13"/>
        <v>ERROR</v>
      </c>
      <c r="G198" s="419" t="str">
        <f t="shared" si="13"/>
        <v>ERROR</v>
      </c>
      <c r="H198" s="419" t="str">
        <f t="shared" si="13"/>
        <v>ERROR</v>
      </c>
      <c r="I198" s="419" t="str">
        <f t="shared" si="13"/>
        <v>ERROR</v>
      </c>
      <c r="J198" s="419" t="str">
        <f t="shared" si="13"/>
        <v>ERROR</v>
      </c>
    </row>
    <row r="199" spans="1:10" ht="15.75" thickBot="1" x14ac:dyDescent="0.3">
      <c r="A199" s="60"/>
      <c r="B199" s="353"/>
      <c r="C199" s="47"/>
      <c r="D199" s="47"/>
      <c r="E199" s="47"/>
      <c r="F199" s="47"/>
      <c r="G199" s="47"/>
      <c r="H199" s="47"/>
      <c r="I199" s="47"/>
      <c r="J199" s="47"/>
    </row>
    <row r="200" spans="1:10" ht="15.75" thickBot="1" x14ac:dyDescent="0.3">
      <c r="A200" s="60"/>
      <c r="B200" s="599" t="s">
        <v>385</v>
      </c>
      <c r="C200" s="415" t="s">
        <v>386</v>
      </c>
      <c r="D200" s="415"/>
      <c r="E200" s="415"/>
      <c r="F200" s="415"/>
      <c r="G200" s="47"/>
      <c r="H200" s="47"/>
      <c r="I200" s="47"/>
      <c r="J200" s="47"/>
    </row>
    <row r="201" spans="1:10" ht="15.75" thickBot="1" x14ac:dyDescent="0.3">
      <c r="A201" s="60"/>
      <c r="B201" s="600"/>
      <c r="C201" s="417">
        <v>3.5</v>
      </c>
      <c r="D201" s="415">
        <v>3.3</v>
      </c>
      <c r="E201" s="415">
        <v>3</v>
      </c>
      <c r="F201" s="418">
        <v>2.7</v>
      </c>
      <c r="G201" s="47"/>
      <c r="H201" s="47"/>
      <c r="I201" s="47"/>
      <c r="J201" s="47"/>
    </row>
    <row r="202" spans="1:10" ht="15.75" thickBot="1" x14ac:dyDescent="0.3">
      <c r="A202" s="60"/>
      <c r="B202" s="406" t="str">
        <f>IF($E$155="S",B198,IF(D155="N",B198))</f>
        <v>ERROR</v>
      </c>
      <c r="C202" s="419" t="str">
        <f>IF($E$155="S",G198,IF(E155="N",C198))</f>
        <v>ERROR</v>
      </c>
      <c r="D202" s="419" t="str">
        <f>IF($E$155="S",H198,IF(F155="N",D198))</f>
        <v>ERROR</v>
      </c>
      <c r="E202" s="419" t="str">
        <f>IF($E$155="S",I198,IF(G155="N",E198))</f>
        <v>ERROR</v>
      </c>
      <c r="F202" s="419" t="str">
        <f>IF($E$155="S",J198,IF(H155="N",F198))</f>
        <v>ERROR</v>
      </c>
      <c r="G202" s="47"/>
      <c r="H202" s="47"/>
      <c r="I202" s="47"/>
      <c r="J202" s="47"/>
    </row>
    <row r="203" spans="1:10" x14ac:dyDescent="0.25">
      <c r="A203" s="60"/>
      <c r="B203" s="353"/>
      <c r="C203" s="47"/>
      <c r="D203" s="47"/>
      <c r="E203" s="47"/>
      <c r="F203" s="47"/>
      <c r="G203" s="47"/>
      <c r="H203" s="47"/>
      <c r="I203" s="47"/>
      <c r="J203" s="47"/>
    </row>
    <row r="204" spans="1:10" x14ac:dyDescent="0.25">
      <c r="A204" s="60"/>
      <c r="B204" t="s">
        <v>391</v>
      </c>
      <c r="G204" s="47"/>
      <c r="H204" s="47"/>
      <c r="I204" s="47"/>
      <c r="J204" s="47"/>
    </row>
    <row r="205" spans="1:10" x14ac:dyDescent="0.25">
      <c r="A205" s="60"/>
      <c r="D205" s="589" t="s">
        <v>402</v>
      </c>
      <c r="E205" s="589"/>
      <c r="F205" s="589"/>
      <c r="G205" s="47"/>
      <c r="H205" s="47"/>
      <c r="I205" s="47"/>
      <c r="J205" s="47"/>
    </row>
    <row r="206" spans="1:10" x14ac:dyDescent="0.25">
      <c r="A206" s="60"/>
      <c r="B206" s="95" t="s">
        <v>392</v>
      </c>
      <c r="C206" s="95" t="s">
        <v>396</v>
      </c>
      <c r="D206" s="95" t="s">
        <v>233</v>
      </c>
      <c r="E206" s="95" t="s">
        <v>400</v>
      </c>
      <c r="F206" s="95" t="s">
        <v>401</v>
      </c>
      <c r="G206" s="47"/>
      <c r="H206" s="47"/>
      <c r="I206" s="47"/>
      <c r="J206" s="47"/>
    </row>
    <row r="207" spans="1:10" x14ac:dyDescent="0.25">
      <c r="A207" s="60"/>
      <c r="B207" s="95" t="s">
        <v>393</v>
      </c>
      <c r="C207" s="95" t="s">
        <v>397</v>
      </c>
      <c r="D207" s="95">
        <v>1.7</v>
      </c>
      <c r="E207" s="95">
        <v>4</v>
      </c>
      <c r="F207" s="95">
        <v>8</v>
      </c>
      <c r="G207" s="47"/>
      <c r="H207" s="47"/>
      <c r="I207" s="47"/>
      <c r="J207" s="47"/>
    </row>
    <row r="208" spans="1:10" x14ac:dyDescent="0.25">
      <c r="A208" s="60"/>
      <c r="B208" s="95" t="s">
        <v>394</v>
      </c>
      <c r="C208" s="95" t="s">
        <v>398</v>
      </c>
      <c r="D208" s="95">
        <v>1.5</v>
      </c>
      <c r="E208" s="95">
        <v>3</v>
      </c>
      <c r="F208" s="95">
        <v>5</v>
      </c>
      <c r="G208" s="47"/>
      <c r="H208" s="47"/>
      <c r="I208" s="47"/>
      <c r="J208" s="47"/>
    </row>
    <row r="209" spans="1:10" x14ac:dyDescent="0.25">
      <c r="A209" s="60"/>
      <c r="B209" s="95" t="s">
        <v>395</v>
      </c>
      <c r="C209" s="95" t="s">
        <v>399</v>
      </c>
      <c r="D209" s="95">
        <v>1.6</v>
      </c>
      <c r="E209" s="95">
        <v>3</v>
      </c>
      <c r="F209" s="95">
        <v>4</v>
      </c>
      <c r="G209" s="47"/>
      <c r="H209" s="47"/>
      <c r="I209" s="47"/>
      <c r="J209" s="47"/>
    </row>
    <row r="210" spans="1:10" x14ac:dyDescent="0.25">
      <c r="A210" s="60"/>
      <c r="G210" s="47"/>
      <c r="H210" s="47"/>
      <c r="I210" s="47"/>
      <c r="J210" s="47"/>
    </row>
    <row r="211" spans="1:10" x14ac:dyDescent="0.25">
      <c r="A211" s="60"/>
      <c r="B211" s="95" t="s">
        <v>392</v>
      </c>
      <c r="C211" s="95" t="s">
        <v>396</v>
      </c>
      <c r="D211" s="95" t="str">
        <f>IF($E$158="p",D206,IF($E$158="l",E206,IF($E$158="m",F206)))</f>
        <v>Plano</v>
      </c>
      <c r="G211" s="47"/>
      <c r="H211" s="47"/>
      <c r="I211" s="47"/>
      <c r="J211" s="47"/>
    </row>
    <row r="212" spans="1:10" x14ac:dyDescent="0.25">
      <c r="A212" s="60"/>
      <c r="B212" s="95" t="s">
        <v>393</v>
      </c>
      <c r="C212" s="95" t="s">
        <v>397</v>
      </c>
      <c r="D212" s="95">
        <f>IF($E$158="p",D207,IF($E$158="l",E207,IF($E$158="m",F207)))</f>
        <v>1.7</v>
      </c>
      <c r="G212" s="47"/>
      <c r="H212" s="47"/>
      <c r="I212" s="47"/>
      <c r="J212" s="47"/>
    </row>
    <row r="213" spans="1:10" x14ac:dyDescent="0.25">
      <c r="A213" s="60"/>
      <c r="B213" s="95" t="s">
        <v>394</v>
      </c>
      <c r="C213" s="95" t="s">
        <v>398</v>
      </c>
      <c r="D213" s="95">
        <f>IF($E$158="p",D208,IF($E$158="l",E208,IF($E$158="m",F208)))</f>
        <v>1.5</v>
      </c>
      <c r="G213" s="47"/>
      <c r="H213" s="47"/>
      <c r="I213" s="47"/>
      <c r="J213" s="47"/>
    </row>
    <row r="214" spans="1:10" x14ac:dyDescent="0.25">
      <c r="A214" s="60"/>
      <c r="B214" s="95" t="s">
        <v>395</v>
      </c>
      <c r="C214" s="95" t="s">
        <v>399</v>
      </c>
      <c r="D214" s="95">
        <f>IF($E$158="p",D209,IF($E$158="l",E209,IF($E$158="m",F209)))</f>
        <v>1.6</v>
      </c>
      <c r="G214" s="47"/>
      <c r="H214" s="47"/>
      <c r="I214" s="47"/>
      <c r="J214" s="47"/>
    </row>
    <row r="215" spans="1:10" x14ac:dyDescent="0.25">
      <c r="A215" s="60"/>
      <c r="G215" s="47"/>
      <c r="H215" s="47"/>
      <c r="I215" s="47"/>
      <c r="J215" s="47"/>
    </row>
    <row r="216" spans="1:10" x14ac:dyDescent="0.25">
      <c r="A216" s="60"/>
      <c r="B216" s="60"/>
      <c r="C216" s="60"/>
      <c r="D216" s="60"/>
      <c r="E216" s="60"/>
      <c r="F216" s="60"/>
      <c r="G216" s="60"/>
      <c r="H216" s="60"/>
      <c r="I216" s="60"/>
      <c r="J216" s="60"/>
    </row>
    <row r="217" spans="1:10" ht="15.75" thickBot="1" x14ac:dyDescent="0.3">
      <c r="A217" s="426" t="s">
        <v>388</v>
      </c>
      <c r="B217" s="426"/>
      <c r="C217" s="426"/>
      <c r="D217" s="426"/>
      <c r="E217" s="426"/>
      <c r="F217" s="426"/>
      <c r="G217" s="426"/>
      <c r="H217" s="426"/>
      <c r="I217" s="426"/>
      <c r="J217" s="426"/>
    </row>
    <row r="218" spans="1:10" ht="15.75" thickBot="1" x14ac:dyDescent="0.3">
      <c r="A218" s="594" t="s">
        <v>384</v>
      </c>
      <c r="B218" s="594" t="s">
        <v>385</v>
      </c>
      <c r="C218" s="427" t="s">
        <v>386</v>
      </c>
      <c r="D218" s="427"/>
      <c r="E218" s="427"/>
      <c r="F218" s="427"/>
      <c r="G218" s="427" t="s">
        <v>386</v>
      </c>
      <c r="H218" s="427"/>
      <c r="I218" s="427"/>
      <c r="J218" s="428"/>
    </row>
    <row r="219" spans="1:10" ht="15.75" thickBot="1" x14ac:dyDescent="0.3">
      <c r="A219" s="595"/>
      <c r="B219" s="595"/>
      <c r="C219" s="429">
        <v>3.5</v>
      </c>
      <c r="D219" s="427">
        <v>3.3</v>
      </c>
      <c r="E219" s="427">
        <v>3</v>
      </c>
      <c r="F219" s="430">
        <v>2.7</v>
      </c>
      <c r="G219" s="429">
        <v>3.5</v>
      </c>
      <c r="H219" s="427">
        <v>3.3</v>
      </c>
      <c r="I219" s="427">
        <v>3</v>
      </c>
      <c r="J219" s="428">
        <v>2.7</v>
      </c>
    </row>
    <row r="220" spans="1:10" ht="15.75" customHeight="1" thickBot="1" x14ac:dyDescent="0.3">
      <c r="A220" s="596">
        <f>IF($F$150*2=4,A169,IF($F$150*2=6,A176,IF($F$150*2=8,A176,"ERROR")))</f>
        <v>4</v>
      </c>
      <c r="B220" s="431">
        <f>IF($F$150*2=4,B169,IF($F$150*2=6,B176,IF($F$150*2=8,B176,"ERROR")))</f>
        <v>1.8</v>
      </c>
      <c r="C220" s="431">
        <f>IF($F$150*2=4,C169,IF($F$150*2=6,C176,IF($F$150*2=8,C176,"ERROR")))</f>
        <v>1</v>
      </c>
      <c r="D220" s="431">
        <f t="shared" ref="D220:J220" si="14">IF($F$150*2=4,D169,IF($F$150*2=6,D176,IF($F$150*2=8,D176,"ERROR")))</f>
        <v>0.97</v>
      </c>
      <c r="E220" s="431">
        <f t="shared" si="14"/>
        <v>0.91</v>
      </c>
      <c r="F220" s="431">
        <f t="shared" si="14"/>
        <v>0.81</v>
      </c>
      <c r="G220" s="431">
        <f t="shared" si="14"/>
        <v>1</v>
      </c>
      <c r="H220" s="431">
        <f t="shared" si="14"/>
        <v>0.97</v>
      </c>
      <c r="I220" s="431">
        <f t="shared" si="14"/>
        <v>0.91</v>
      </c>
      <c r="J220" s="431">
        <f t="shared" si="14"/>
        <v>0.81</v>
      </c>
    </row>
    <row r="221" spans="1:10" ht="15.75" thickBot="1" x14ac:dyDescent="0.3">
      <c r="A221" s="597">
        <f t="shared" ref="A221:B226" si="15">IF($F$150*2=4,A170,IF($F$150*2=6,A177,IF($F$150*2=8,A177,"ERROR")))</f>
        <v>0</v>
      </c>
      <c r="B221" s="431">
        <f t="shared" si="15"/>
        <v>1.5</v>
      </c>
      <c r="C221" s="431">
        <f t="shared" ref="C221:C226" si="16">IF($F$150*2=4,C170,IF($F$150*2=6,C177,IF($F$150*2=8,C177,"ERROR")))</f>
        <v>0.99</v>
      </c>
      <c r="D221" s="431">
        <f t="shared" ref="D221:J226" si="17">IF($F$150*2=4,D170,IF($F$150*2=6,D177,IF($F$150*2=8,D177,"ERROR")))</f>
        <v>0.96</v>
      </c>
      <c r="E221" s="431">
        <f t="shared" si="17"/>
        <v>0.9</v>
      </c>
      <c r="F221" s="431">
        <f t="shared" si="17"/>
        <v>0.8</v>
      </c>
      <c r="G221" s="431">
        <f t="shared" si="17"/>
        <v>0.99</v>
      </c>
      <c r="H221" s="431">
        <f t="shared" si="17"/>
        <v>0.96</v>
      </c>
      <c r="I221" s="431">
        <f t="shared" si="17"/>
        <v>0.9</v>
      </c>
      <c r="J221" s="431">
        <f t="shared" si="17"/>
        <v>0.8</v>
      </c>
    </row>
    <row r="222" spans="1:10" ht="15.75" thickBot="1" x14ac:dyDescent="0.3">
      <c r="A222" s="597">
        <f t="shared" si="15"/>
        <v>0</v>
      </c>
      <c r="B222" s="431">
        <f t="shared" si="15"/>
        <v>1.2</v>
      </c>
      <c r="C222" s="431">
        <f t="shared" si="16"/>
        <v>0.99</v>
      </c>
      <c r="D222" s="431">
        <f t="shared" si="17"/>
        <v>0.96</v>
      </c>
      <c r="E222" s="431">
        <f t="shared" si="17"/>
        <v>0.9</v>
      </c>
      <c r="F222" s="431">
        <f t="shared" si="17"/>
        <v>0.8</v>
      </c>
      <c r="G222" s="431">
        <f t="shared" si="17"/>
        <v>0.98</v>
      </c>
      <c r="H222" s="431">
        <f t="shared" si="17"/>
        <v>0.95</v>
      </c>
      <c r="I222" s="431">
        <f t="shared" si="17"/>
        <v>0.89</v>
      </c>
      <c r="J222" s="431">
        <f t="shared" si="17"/>
        <v>0.79</v>
      </c>
    </row>
    <row r="223" spans="1:10" ht="15.75" thickBot="1" x14ac:dyDescent="0.3">
      <c r="A223" s="597">
        <f t="shared" si="15"/>
        <v>0</v>
      </c>
      <c r="B223" s="431">
        <f t="shared" si="15"/>
        <v>0.9</v>
      </c>
      <c r="C223" s="431">
        <f t="shared" si="16"/>
        <v>0.98</v>
      </c>
      <c r="D223" s="431">
        <f t="shared" si="17"/>
        <v>0.95</v>
      </c>
      <c r="E223" s="431">
        <f t="shared" si="17"/>
        <v>0.88</v>
      </c>
      <c r="F223" s="431">
        <f t="shared" si="17"/>
        <v>0.79</v>
      </c>
      <c r="G223" s="431">
        <f t="shared" si="17"/>
        <v>0.96</v>
      </c>
      <c r="H223" s="431">
        <f t="shared" si="17"/>
        <v>0.93</v>
      </c>
      <c r="I223" s="431">
        <f t="shared" si="17"/>
        <v>0.87</v>
      </c>
      <c r="J223" s="431">
        <f t="shared" si="17"/>
        <v>0.77</v>
      </c>
    </row>
    <row r="224" spans="1:10" ht="15.75" thickBot="1" x14ac:dyDescent="0.3">
      <c r="A224" s="597">
        <f t="shared" si="15"/>
        <v>0</v>
      </c>
      <c r="B224" s="431">
        <f t="shared" si="15"/>
        <v>0.6</v>
      </c>
      <c r="C224" s="431">
        <f t="shared" si="16"/>
        <v>0.97</v>
      </c>
      <c r="D224" s="431">
        <f t="shared" si="17"/>
        <v>0.94</v>
      </c>
      <c r="E224" s="431">
        <f t="shared" si="17"/>
        <v>0.88</v>
      </c>
      <c r="F224" s="431">
        <f t="shared" si="17"/>
        <v>0.79</v>
      </c>
      <c r="G224" s="431">
        <f t="shared" si="17"/>
        <v>0.94</v>
      </c>
      <c r="H224" s="431">
        <f t="shared" si="17"/>
        <v>0.91</v>
      </c>
      <c r="I224" s="431">
        <f t="shared" si="17"/>
        <v>0.86</v>
      </c>
      <c r="J224" s="431">
        <f t="shared" si="17"/>
        <v>0.76</v>
      </c>
    </row>
    <row r="225" spans="1:10" ht="15.75" thickBot="1" x14ac:dyDescent="0.3">
      <c r="A225" s="597">
        <f t="shared" si="15"/>
        <v>0</v>
      </c>
      <c r="B225" s="431">
        <f t="shared" si="15"/>
        <v>0.3</v>
      </c>
      <c r="C225" s="431">
        <f t="shared" si="16"/>
        <v>0.93</v>
      </c>
      <c r="D225" s="431">
        <f t="shared" si="17"/>
        <v>0.9</v>
      </c>
      <c r="E225" s="431">
        <f t="shared" si="17"/>
        <v>0.85</v>
      </c>
      <c r="F225" s="431">
        <f t="shared" si="17"/>
        <v>0.76</v>
      </c>
      <c r="G225" s="431">
        <f t="shared" si="17"/>
        <v>0.87</v>
      </c>
      <c r="H225" s="431">
        <f t="shared" si="17"/>
        <v>0.85</v>
      </c>
      <c r="I225" s="431">
        <f t="shared" si="17"/>
        <v>0.8</v>
      </c>
      <c r="J225" s="431">
        <f t="shared" si="17"/>
        <v>0.71</v>
      </c>
    </row>
    <row r="226" spans="1:10" ht="15.75" thickBot="1" x14ac:dyDescent="0.3">
      <c r="A226" s="598">
        <f t="shared" si="15"/>
        <v>0</v>
      </c>
      <c r="B226" s="431">
        <f t="shared" si="15"/>
        <v>0</v>
      </c>
      <c r="C226" s="431">
        <f t="shared" si="16"/>
        <v>0.9</v>
      </c>
      <c r="D226" s="431">
        <f t="shared" si="17"/>
        <v>0.87</v>
      </c>
      <c r="E226" s="431">
        <f t="shared" si="17"/>
        <v>0.82</v>
      </c>
      <c r="F226" s="431">
        <f t="shared" si="17"/>
        <v>0.73</v>
      </c>
      <c r="G226" s="431">
        <f t="shared" si="17"/>
        <v>0.81</v>
      </c>
      <c r="H226" s="431">
        <f t="shared" si="17"/>
        <v>0.79</v>
      </c>
      <c r="I226" s="431">
        <f t="shared" si="17"/>
        <v>0.74</v>
      </c>
      <c r="J226" s="431">
        <f t="shared" si="17"/>
        <v>0.66</v>
      </c>
    </row>
    <row r="227" spans="1:10" x14ac:dyDescent="0.25">
      <c r="A227" s="426"/>
      <c r="B227" s="426"/>
      <c r="C227" s="426"/>
      <c r="D227" s="426"/>
      <c r="E227" s="426"/>
      <c r="F227" s="426"/>
      <c r="G227" s="426"/>
      <c r="H227" s="426"/>
      <c r="I227" s="426"/>
      <c r="J227" s="426"/>
    </row>
    <row r="228" spans="1:10" ht="15.75" thickBot="1" x14ac:dyDescent="0.3">
      <c r="A228" s="426" t="s">
        <v>389</v>
      </c>
      <c r="B228" s="426"/>
      <c r="C228" s="426"/>
      <c r="D228" s="426"/>
      <c r="E228" s="426"/>
      <c r="F228" s="426"/>
      <c r="G228" s="426"/>
      <c r="H228" s="426"/>
      <c r="I228" s="426"/>
      <c r="J228" s="426"/>
    </row>
    <row r="229" spans="1:10" ht="15.75" thickBot="1" x14ac:dyDescent="0.3">
      <c r="A229" s="426"/>
      <c r="B229" s="594" t="s">
        <v>385</v>
      </c>
      <c r="C229" s="427" t="s">
        <v>386</v>
      </c>
      <c r="D229" s="427"/>
      <c r="E229" s="427"/>
      <c r="F229" s="427"/>
      <c r="G229" s="427" t="s">
        <v>386</v>
      </c>
      <c r="H229" s="427"/>
      <c r="I229" s="427"/>
      <c r="J229" s="428"/>
    </row>
    <row r="230" spans="1:10" ht="15.75" thickBot="1" x14ac:dyDescent="0.3">
      <c r="A230" s="426"/>
      <c r="B230" s="595"/>
      <c r="C230" s="429">
        <v>3.5</v>
      </c>
      <c r="D230" s="427">
        <v>3.3</v>
      </c>
      <c r="E230" s="427">
        <v>3</v>
      </c>
      <c r="F230" s="430">
        <v>2.7</v>
      </c>
      <c r="G230" s="429">
        <v>3.5</v>
      </c>
      <c r="H230" s="427">
        <v>3.3</v>
      </c>
      <c r="I230" s="427">
        <v>3</v>
      </c>
      <c r="J230" s="428">
        <v>2.7</v>
      </c>
    </row>
    <row r="231" spans="1:10" ht="15.75" thickBot="1" x14ac:dyDescent="0.3">
      <c r="A231" s="426"/>
      <c r="B231" s="8">
        <f>IF($E$153&gt;=1.8,B220,IF(AND($E$153&lt;1.8,$E$153&gt;=1.5),B221,IF(AND($E$153&lt;1.5,$E$153&gt;=1.2),B222,IF(AND($E$153&lt;1.2,$E$153&gt;=0.9),B223,IF(AND($E$153&lt;0.9,$E$153&gt;=0.6),B224,IF(AND($E$153&lt;0.6,$E$153&gt;=0.3),B225,IF($E$153&lt;0.3,$C$193)))))))</f>
        <v>0.9</v>
      </c>
      <c r="C231" s="432">
        <f>IF($F$153&gt;=1.8,C220,IF(AND($F$153&lt;1.8,$F$153&gt;=1.5),C221,IF(AND($F$153&lt;1.5,$F$153&gt;=1.2),C222,IF(AND($F$153&lt;1.2,$F$153&gt;=0.9),C223,IF(AND($F$153&lt;0.9,$F$153&gt;=0.6),C224,IF(AND($F$153&lt;0.6,$F$153&gt;=0.3),C225,IF($F$153&lt;0.3,C226)))))))</f>
        <v>0.99</v>
      </c>
      <c r="D231" s="432">
        <f t="shared" ref="D231:I231" si="18">IF($F$153&gt;=1.8,D220,IF(AND($F$153&lt;1.8,$F$153&gt;=1.5),D221,IF(AND($F$153&lt;1.5,$F$153&gt;=1.2),D222,IF(AND($F$153&lt;1.2,$F$153&gt;=0.9),D223,IF(AND($F$153&lt;0.9,$F$153&gt;=0.6),D224,IF(AND($F$153&lt;0.6,$F$153&gt;=0.3),D225,IF($F$153&lt;0.3,D226)))))))</f>
        <v>0.96</v>
      </c>
      <c r="E231" s="432">
        <f t="shared" si="18"/>
        <v>0.9</v>
      </c>
      <c r="F231" s="432">
        <f t="shared" si="18"/>
        <v>0.8</v>
      </c>
      <c r="G231" s="432">
        <f t="shared" si="18"/>
        <v>0.99</v>
      </c>
      <c r="H231" s="432">
        <f t="shared" si="18"/>
        <v>0.96</v>
      </c>
      <c r="I231" s="432">
        <f t="shared" si="18"/>
        <v>0.9</v>
      </c>
      <c r="J231" s="432">
        <f>IF($F$153&gt;=1.8,J220,IF(AND($F$153&lt;1.8,$F$153&gt;=1.5),J221,IF(AND($F$153&lt;1.5,$F$153&gt;=1.2),J222,IF(AND($F$153&lt;1.2,$F$153&gt;=0.9),J223,IF(AND($F$153&lt;0.9,$F$153&gt;=0.6),J224,IF(AND($F$153&lt;0.6,$F$153&gt;=0.3),J225,IF($F$153&lt;0.3,J226)))))))</f>
        <v>0.8</v>
      </c>
    </row>
    <row r="232" spans="1:10" ht="15.75" thickBot="1" x14ac:dyDescent="0.3">
      <c r="A232" s="426"/>
      <c r="B232" s="426"/>
      <c r="C232" s="426"/>
      <c r="D232" s="426"/>
      <c r="E232" s="426"/>
      <c r="F232" s="426"/>
      <c r="G232" s="426"/>
      <c r="H232" s="426"/>
      <c r="I232" s="426"/>
      <c r="J232" s="426"/>
    </row>
    <row r="233" spans="1:10" ht="15.75" customHeight="1" thickBot="1" x14ac:dyDescent="0.3">
      <c r="A233" s="426"/>
      <c r="B233" s="594" t="s">
        <v>385</v>
      </c>
      <c r="C233" s="427" t="s">
        <v>386</v>
      </c>
      <c r="D233" s="427"/>
      <c r="E233" s="427"/>
      <c r="F233" s="427"/>
      <c r="G233" s="426"/>
      <c r="H233" s="426"/>
      <c r="I233" s="426"/>
      <c r="J233" s="426"/>
    </row>
    <row r="234" spans="1:10" ht="15.75" thickBot="1" x14ac:dyDescent="0.3">
      <c r="A234" s="426"/>
      <c r="B234" s="595"/>
      <c r="C234" s="429">
        <v>3.5</v>
      </c>
      <c r="D234" s="427">
        <v>3.3</v>
      </c>
      <c r="E234" s="427">
        <v>3</v>
      </c>
      <c r="F234" s="430">
        <v>2.7</v>
      </c>
      <c r="G234" s="426"/>
      <c r="H234" s="426"/>
      <c r="I234" s="426"/>
      <c r="J234" s="426"/>
    </row>
    <row r="235" spans="1:10" ht="15.75" thickBot="1" x14ac:dyDescent="0.3">
      <c r="A235" s="426"/>
      <c r="B235" s="8">
        <f>B231</f>
        <v>0.9</v>
      </c>
      <c r="C235" s="432">
        <f>IF($F$155="s",G231,IF($F$155="n",C231))</f>
        <v>0.99</v>
      </c>
      <c r="D235" s="432">
        <f>IF($F$155="s",H231,IF($F$155="n",D231))</f>
        <v>0.96</v>
      </c>
      <c r="E235" s="432">
        <f>IF($F$155="s",I231,IF($F$155="n",E231))</f>
        <v>0.9</v>
      </c>
      <c r="F235" s="432">
        <f>IF($F$155="s",J231,IF($F$155="n",F231))</f>
        <v>0.8</v>
      </c>
      <c r="G235" s="426"/>
      <c r="H235" s="426"/>
      <c r="I235" s="426"/>
      <c r="J235" s="426"/>
    </row>
    <row r="236" spans="1:10" x14ac:dyDescent="0.25">
      <c r="A236" s="426"/>
      <c r="B236" s="426"/>
      <c r="C236" s="426"/>
      <c r="D236" s="426"/>
      <c r="E236" s="426"/>
      <c r="F236" s="426"/>
      <c r="G236" s="426"/>
      <c r="H236" s="426"/>
      <c r="I236" s="426"/>
      <c r="J236" s="426"/>
    </row>
    <row r="237" spans="1:10" x14ac:dyDescent="0.25">
      <c r="A237" s="426"/>
      <c r="B237" s="426" t="s">
        <v>391</v>
      </c>
      <c r="C237" s="426"/>
      <c r="D237" s="426"/>
      <c r="E237" s="426"/>
      <c r="F237" s="426"/>
      <c r="G237" s="426"/>
      <c r="H237" s="426"/>
      <c r="I237" s="426"/>
      <c r="J237" s="426"/>
    </row>
    <row r="238" spans="1:10" x14ac:dyDescent="0.25">
      <c r="A238" s="426"/>
      <c r="B238" s="426"/>
      <c r="C238" s="426"/>
      <c r="D238" s="609" t="s">
        <v>402</v>
      </c>
      <c r="E238" s="609"/>
      <c r="F238" s="609"/>
      <c r="G238" s="426"/>
      <c r="H238" s="426"/>
      <c r="I238" s="426"/>
      <c r="J238" s="426"/>
    </row>
    <row r="239" spans="1:10" x14ac:dyDescent="0.25">
      <c r="A239" s="426"/>
      <c r="B239" s="433" t="s">
        <v>392</v>
      </c>
      <c r="C239" s="433" t="s">
        <v>396</v>
      </c>
      <c r="D239" s="433" t="s">
        <v>233</v>
      </c>
      <c r="E239" s="433" t="s">
        <v>400</v>
      </c>
      <c r="F239" s="433" t="s">
        <v>401</v>
      </c>
      <c r="G239" s="426"/>
      <c r="H239" s="426"/>
      <c r="I239" s="426"/>
      <c r="J239" s="426"/>
    </row>
    <row r="240" spans="1:10" x14ac:dyDescent="0.25">
      <c r="A240" s="426"/>
      <c r="B240" s="433" t="s">
        <v>393</v>
      </c>
      <c r="C240" s="433" t="s">
        <v>397</v>
      </c>
      <c r="D240" s="433">
        <v>1.7</v>
      </c>
      <c r="E240" s="433">
        <v>4</v>
      </c>
      <c r="F240" s="433">
        <v>8</v>
      </c>
      <c r="G240" s="426"/>
      <c r="H240" s="426"/>
      <c r="I240" s="426"/>
      <c r="J240" s="426"/>
    </row>
    <row r="241" spans="1:11" x14ac:dyDescent="0.25">
      <c r="A241" s="426"/>
      <c r="B241" s="433" t="s">
        <v>394</v>
      </c>
      <c r="C241" s="433" t="s">
        <v>398</v>
      </c>
      <c r="D241" s="433">
        <v>1.5</v>
      </c>
      <c r="E241" s="433">
        <v>3</v>
      </c>
      <c r="F241" s="433">
        <v>5</v>
      </c>
      <c r="G241" s="426"/>
      <c r="H241" s="426"/>
      <c r="I241" s="426"/>
      <c r="J241" s="426"/>
    </row>
    <row r="242" spans="1:11" x14ac:dyDescent="0.25">
      <c r="A242" s="426"/>
      <c r="B242" s="433" t="s">
        <v>395</v>
      </c>
      <c r="C242" s="433" t="s">
        <v>399</v>
      </c>
      <c r="D242" s="433">
        <v>1.6</v>
      </c>
      <c r="E242" s="433">
        <v>3</v>
      </c>
      <c r="F242" s="433">
        <v>4</v>
      </c>
      <c r="G242" s="426"/>
      <c r="H242" s="426"/>
      <c r="I242" s="426"/>
      <c r="J242" s="426"/>
    </row>
    <row r="243" spans="1:11" x14ac:dyDescent="0.25">
      <c r="A243" s="426"/>
      <c r="B243" s="426"/>
      <c r="C243" s="426"/>
      <c r="D243" s="426"/>
      <c r="E243" s="426"/>
      <c r="F243" s="426"/>
      <c r="G243" s="426"/>
      <c r="H243" s="426"/>
      <c r="I243" s="426"/>
      <c r="J243" s="426"/>
    </row>
    <row r="244" spans="1:11" x14ac:dyDescent="0.25">
      <c r="A244" s="426"/>
      <c r="B244" s="433" t="s">
        <v>392</v>
      </c>
      <c r="C244" s="433" t="s">
        <v>396</v>
      </c>
      <c r="D244" s="433" t="str">
        <f>IF($F$158="p",D239,IF($F$158="l",E239,IF($F$158="m",F239)))</f>
        <v>Plano</v>
      </c>
      <c r="E244" s="426"/>
      <c r="F244" s="426"/>
      <c r="G244" s="426"/>
      <c r="H244" s="426"/>
      <c r="I244" s="426"/>
      <c r="J244" s="426"/>
    </row>
    <row r="245" spans="1:11" x14ac:dyDescent="0.25">
      <c r="A245" s="426"/>
      <c r="B245" s="433" t="s">
        <v>393</v>
      </c>
      <c r="C245" s="433" t="s">
        <v>397</v>
      </c>
      <c r="D245" s="433">
        <f>IF($F$158="p",D240,IF($F$158="l",E240,IF($F$158="m",F240)))</f>
        <v>1.7</v>
      </c>
      <c r="E245" s="426"/>
      <c r="F245" s="426"/>
      <c r="G245" s="426"/>
      <c r="H245" s="426"/>
      <c r="I245" s="426"/>
      <c r="J245" s="426"/>
    </row>
    <row r="246" spans="1:11" x14ac:dyDescent="0.25">
      <c r="A246" s="426"/>
      <c r="B246" s="433" t="s">
        <v>394</v>
      </c>
      <c r="C246" s="433" t="s">
        <v>398</v>
      </c>
      <c r="D246" s="433">
        <f>IF($F$158="p",D241,IF($F$158="l",E241,IF($F$158="m",F241)))</f>
        <v>1.5</v>
      </c>
      <c r="E246" s="426"/>
      <c r="F246" s="426"/>
      <c r="G246" s="426"/>
      <c r="H246" s="426"/>
      <c r="I246" s="426"/>
      <c r="J246" s="426"/>
    </row>
    <row r="247" spans="1:11" x14ac:dyDescent="0.25">
      <c r="A247" s="426"/>
      <c r="B247" s="433" t="s">
        <v>395</v>
      </c>
      <c r="C247" s="433" t="s">
        <v>399</v>
      </c>
      <c r="D247" s="433">
        <f>IF($F$158="p",D242,IF($F$158="l",E242,IF($F$158="m",F242)))</f>
        <v>1.6</v>
      </c>
      <c r="E247" s="426"/>
      <c r="F247" s="426"/>
      <c r="G247" s="426"/>
      <c r="H247" s="426"/>
      <c r="I247" s="426"/>
      <c r="J247" s="426"/>
    </row>
    <row r="249" spans="1:11" ht="15.75" thickBot="1" x14ac:dyDescent="0.3">
      <c r="A249" s="426" t="s">
        <v>388</v>
      </c>
      <c r="B249" s="426"/>
      <c r="C249" s="426"/>
      <c r="D249" s="426"/>
      <c r="E249" s="426"/>
      <c r="F249" s="426"/>
      <c r="G249" s="426"/>
      <c r="H249" s="426"/>
      <c r="I249" s="426"/>
      <c r="J249" s="426"/>
    </row>
    <row r="250" spans="1:11" ht="15.75" thickBot="1" x14ac:dyDescent="0.3">
      <c r="A250" s="594" t="s">
        <v>384</v>
      </c>
      <c r="B250" s="594" t="s">
        <v>385</v>
      </c>
      <c r="C250" s="427" t="s">
        <v>386</v>
      </c>
      <c r="D250" s="427"/>
      <c r="E250" s="427"/>
      <c r="F250" s="427"/>
      <c r="G250" s="427" t="s">
        <v>386</v>
      </c>
      <c r="H250" s="427"/>
      <c r="I250" s="427"/>
      <c r="J250" s="428"/>
      <c r="K250" s="434"/>
    </row>
    <row r="251" spans="1:11" ht="15.75" thickBot="1" x14ac:dyDescent="0.3">
      <c r="A251" s="595"/>
      <c r="B251" s="595"/>
      <c r="C251" s="429">
        <v>3.5</v>
      </c>
      <c r="D251" s="427">
        <v>3.3</v>
      </c>
      <c r="E251" s="427">
        <v>3</v>
      </c>
      <c r="F251" s="430">
        <v>2.7</v>
      </c>
      <c r="G251" s="429">
        <v>3.5</v>
      </c>
      <c r="H251" s="427">
        <v>3.3</v>
      </c>
      <c r="I251" s="427">
        <v>3</v>
      </c>
      <c r="J251" s="428">
        <v>2.7</v>
      </c>
      <c r="K251" s="434"/>
    </row>
    <row r="252" spans="1:11" ht="15.75" thickBot="1" x14ac:dyDescent="0.3">
      <c r="A252" s="596" t="str">
        <f>IF($G$150*2=4,A169,IF($G$150*2=6,A176,IF($G$150*2=8,A220,"ERROR")))</f>
        <v>ERROR</v>
      </c>
      <c r="B252" s="431" t="str">
        <f>IF($G$150*2=4,B169,IF($G$150*2=6,B176,IF($G$150*2=8,B220,"ERROR")))</f>
        <v>ERROR</v>
      </c>
      <c r="C252" s="431" t="str">
        <f t="shared" ref="C252:J252" si="19">IF($G$150*2=4,C169,IF($G$150*2=6,C176,IF($G$150*2=8,C220,"ERROR")))</f>
        <v>ERROR</v>
      </c>
      <c r="D252" s="431" t="str">
        <f t="shared" si="19"/>
        <v>ERROR</v>
      </c>
      <c r="E252" s="431" t="str">
        <f t="shared" si="19"/>
        <v>ERROR</v>
      </c>
      <c r="F252" s="431" t="str">
        <f t="shared" si="19"/>
        <v>ERROR</v>
      </c>
      <c r="G252" s="431" t="str">
        <f t="shared" si="19"/>
        <v>ERROR</v>
      </c>
      <c r="H252" s="431" t="str">
        <f t="shared" si="19"/>
        <v>ERROR</v>
      </c>
      <c r="I252" s="431" t="str">
        <f t="shared" si="19"/>
        <v>ERROR</v>
      </c>
      <c r="J252" s="431" t="str">
        <f t="shared" si="19"/>
        <v>ERROR</v>
      </c>
      <c r="K252" s="434"/>
    </row>
    <row r="253" spans="1:11" ht="15.75" thickBot="1" x14ac:dyDescent="0.3">
      <c r="A253" s="597" t="str">
        <f t="shared" ref="A253:B258" si="20">IF($G$150*2=4,A170,IF($G$150*2=6,A177,IF($G$150*2=8,A221,"ERROR")))</f>
        <v>ERROR</v>
      </c>
      <c r="B253" s="431" t="str">
        <f t="shared" si="20"/>
        <v>ERROR</v>
      </c>
      <c r="C253" s="431" t="str">
        <f t="shared" ref="C253:J253" si="21">IF($G$150*2=4,C170,IF($G$150*2=6,C177,IF($G$150*2=8,C221,"ERROR")))</f>
        <v>ERROR</v>
      </c>
      <c r="D253" s="431" t="str">
        <f t="shared" si="21"/>
        <v>ERROR</v>
      </c>
      <c r="E253" s="431" t="str">
        <f t="shared" si="21"/>
        <v>ERROR</v>
      </c>
      <c r="F253" s="431" t="str">
        <f t="shared" si="21"/>
        <v>ERROR</v>
      </c>
      <c r="G253" s="431" t="str">
        <f t="shared" si="21"/>
        <v>ERROR</v>
      </c>
      <c r="H253" s="431" t="str">
        <f t="shared" si="21"/>
        <v>ERROR</v>
      </c>
      <c r="I253" s="431" t="str">
        <f t="shared" si="21"/>
        <v>ERROR</v>
      </c>
      <c r="J253" s="431" t="str">
        <f t="shared" si="21"/>
        <v>ERROR</v>
      </c>
      <c r="K253" s="434"/>
    </row>
    <row r="254" spans="1:11" ht="15.75" thickBot="1" x14ac:dyDescent="0.3">
      <c r="A254" s="597" t="str">
        <f t="shared" si="20"/>
        <v>ERROR</v>
      </c>
      <c r="B254" s="431" t="str">
        <f t="shared" si="20"/>
        <v>ERROR</v>
      </c>
      <c r="C254" s="431" t="str">
        <f t="shared" ref="C254:J254" si="22">IF($G$150*2=4,C171,IF($G$150*2=6,C178,IF($G$150*2=8,C222,"ERROR")))</f>
        <v>ERROR</v>
      </c>
      <c r="D254" s="431" t="str">
        <f t="shared" si="22"/>
        <v>ERROR</v>
      </c>
      <c r="E254" s="431" t="str">
        <f t="shared" si="22"/>
        <v>ERROR</v>
      </c>
      <c r="F254" s="431" t="str">
        <f t="shared" si="22"/>
        <v>ERROR</v>
      </c>
      <c r="G254" s="431" t="str">
        <f t="shared" si="22"/>
        <v>ERROR</v>
      </c>
      <c r="H254" s="431" t="str">
        <f t="shared" si="22"/>
        <v>ERROR</v>
      </c>
      <c r="I254" s="431" t="str">
        <f t="shared" si="22"/>
        <v>ERROR</v>
      </c>
      <c r="J254" s="431" t="str">
        <f t="shared" si="22"/>
        <v>ERROR</v>
      </c>
      <c r="K254" s="434"/>
    </row>
    <row r="255" spans="1:11" ht="15.75" thickBot="1" x14ac:dyDescent="0.3">
      <c r="A255" s="597" t="str">
        <f t="shared" si="20"/>
        <v>ERROR</v>
      </c>
      <c r="B255" s="431" t="str">
        <f t="shared" si="20"/>
        <v>ERROR</v>
      </c>
      <c r="C255" s="431" t="str">
        <f t="shared" ref="C255:J255" si="23">IF($G$150*2=4,C172,IF($G$150*2=6,C179,IF($G$150*2=8,C223,"ERROR")))</f>
        <v>ERROR</v>
      </c>
      <c r="D255" s="431" t="str">
        <f t="shared" si="23"/>
        <v>ERROR</v>
      </c>
      <c r="E255" s="431" t="str">
        <f t="shared" si="23"/>
        <v>ERROR</v>
      </c>
      <c r="F255" s="431" t="str">
        <f t="shared" si="23"/>
        <v>ERROR</v>
      </c>
      <c r="G255" s="431" t="str">
        <f t="shared" si="23"/>
        <v>ERROR</v>
      </c>
      <c r="H255" s="431" t="str">
        <f t="shared" si="23"/>
        <v>ERROR</v>
      </c>
      <c r="I255" s="431" t="str">
        <f t="shared" si="23"/>
        <v>ERROR</v>
      </c>
      <c r="J255" s="431" t="str">
        <f t="shared" si="23"/>
        <v>ERROR</v>
      </c>
      <c r="K255" s="434"/>
    </row>
    <row r="256" spans="1:11" ht="15.75" thickBot="1" x14ac:dyDescent="0.3">
      <c r="A256" s="597" t="str">
        <f t="shared" si="20"/>
        <v>ERROR</v>
      </c>
      <c r="B256" s="431" t="str">
        <f t="shared" si="20"/>
        <v>ERROR</v>
      </c>
      <c r="C256" s="431" t="str">
        <f t="shared" ref="C256:J256" si="24">IF($G$150*2=4,C173,IF($G$150*2=6,C180,IF($G$150*2=8,C224,"ERROR")))</f>
        <v>ERROR</v>
      </c>
      <c r="D256" s="431" t="str">
        <f t="shared" si="24"/>
        <v>ERROR</v>
      </c>
      <c r="E256" s="431" t="str">
        <f t="shared" si="24"/>
        <v>ERROR</v>
      </c>
      <c r="F256" s="431" t="str">
        <f t="shared" si="24"/>
        <v>ERROR</v>
      </c>
      <c r="G256" s="431" t="str">
        <f t="shared" si="24"/>
        <v>ERROR</v>
      </c>
      <c r="H256" s="431" t="str">
        <f t="shared" si="24"/>
        <v>ERROR</v>
      </c>
      <c r="I256" s="431" t="str">
        <f t="shared" si="24"/>
        <v>ERROR</v>
      </c>
      <c r="J256" s="431" t="str">
        <f t="shared" si="24"/>
        <v>ERROR</v>
      </c>
      <c r="K256" s="434"/>
    </row>
    <row r="257" spans="1:11" ht="15.75" thickBot="1" x14ac:dyDescent="0.3">
      <c r="A257" s="597" t="str">
        <f t="shared" si="20"/>
        <v>ERROR</v>
      </c>
      <c r="B257" s="431" t="str">
        <f t="shared" si="20"/>
        <v>ERROR</v>
      </c>
      <c r="C257" s="431" t="str">
        <f t="shared" ref="C257:J257" si="25">IF($G$150*2=4,C174,IF($G$150*2=6,C181,IF($G$150*2=8,C225,"ERROR")))</f>
        <v>ERROR</v>
      </c>
      <c r="D257" s="431" t="str">
        <f t="shared" si="25"/>
        <v>ERROR</v>
      </c>
      <c r="E257" s="431" t="str">
        <f t="shared" si="25"/>
        <v>ERROR</v>
      </c>
      <c r="F257" s="431" t="str">
        <f t="shared" si="25"/>
        <v>ERROR</v>
      </c>
      <c r="G257" s="431" t="str">
        <f t="shared" si="25"/>
        <v>ERROR</v>
      </c>
      <c r="H257" s="431" t="str">
        <f t="shared" si="25"/>
        <v>ERROR</v>
      </c>
      <c r="I257" s="431" t="str">
        <f t="shared" si="25"/>
        <v>ERROR</v>
      </c>
      <c r="J257" s="431" t="str">
        <f t="shared" si="25"/>
        <v>ERROR</v>
      </c>
      <c r="K257" s="434"/>
    </row>
    <row r="258" spans="1:11" ht="15.75" thickBot="1" x14ac:dyDescent="0.3">
      <c r="A258" s="598" t="str">
        <f t="shared" si="20"/>
        <v>ERROR</v>
      </c>
      <c r="B258" s="431" t="str">
        <f t="shared" si="20"/>
        <v>ERROR</v>
      </c>
      <c r="C258" s="431" t="str">
        <f t="shared" ref="C258:J258" si="26">IF($G$150*2=4,C175,IF($G$150*2=6,C182,IF($G$150*2=8,C226,"ERROR")))</f>
        <v>ERROR</v>
      </c>
      <c r="D258" s="431" t="str">
        <f t="shared" si="26"/>
        <v>ERROR</v>
      </c>
      <c r="E258" s="431" t="str">
        <f t="shared" si="26"/>
        <v>ERROR</v>
      </c>
      <c r="F258" s="431" t="str">
        <f t="shared" si="26"/>
        <v>ERROR</v>
      </c>
      <c r="G258" s="431" t="str">
        <f t="shared" si="26"/>
        <v>ERROR</v>
      </c>
      <c r="H258" s="431" t="str">
        <f t="shared" si="26"/>
        <v>ERROR</v>
      </c>
      <c r="I258" s="431" t="str">
        <f t="shared" si="26"/>
        <v>ERROR</v>
      </c>
      <c r="J258" s="431" t="str">
        <f t="shared" si="26"/>
        <v>ERROR</v>
      </c>
      <c r="K258" s="434"/>
    </row>
    <row r="259" spans="1:11" x14ac:dyDescent="0.25">
      <c r="A259" s="426"/>
      <c r="B259" s="426"/>
      <c r="C259" s="426"/>
      <c r="D259" s="426"/>
      <c r="E259" s="426"/>
      <c r="F259" s="426"/>
      <c r="G259" s="426"/>
      <c r="H259" s="426"/>
      <c r="I259" s="426"/>
      <c r="J259" s="426"/>
      <c r="K259" s="434"/>
    </row>
    <row r="260" spans="1:11" ht="15.75" thickBot="1" x14ac:dyDescent="0.3">
      <c r="A260" s="426" t="s">
        <v>389</v>
      </c>
      <c r="B260" s="426"/>
      <c r="C260" s="426"/>
      <c r="D260" s="426"/>
      <c r="E260" s="426"/>
      <c r="F260" s="426"/>
      <c r="G260" s="426"/>
      <c r="H260" s="426"/>
      <c r="I260" s="426"/>
      <c r="J260" s="426"/>
      <c r="K260" s="434"/>
    </row>
    <row r="261" spans="1:11" ht="15.75" thickBot="1" x14ac:dyDescent="0.3">
      <c r="A261" s="426"/>
      <c r="B261" s="594" t="s">
        <v>385</v>
      </c>
      <c r="C261" s="427" t="s">
        <v>386</v>
      </c>
      <c r="D261" s="427"/>
      <c r="E261" s="427"/>
      <c r="F261" s="427"/>
      <c r="G261" s="427" t="s">
        <v>386</v>
      </c>
      <c r="H261" s="427"/>
      <c r="I261" s="427"/>
      <c r="J261" s="428"/>
      <c r="K261" s="434"/>
    </row>
    <row r="262" spans="1:11" ht="15.75" thickBot="1" x14ac:dyDescent="0.3">
      <c r="A262" s="426"/>
      <c r="B262" s="595"/>
      <c r="C262" s="429">
        <v>3.5</v>
      </c>
      <c r="D262" s="427">
        <v>3.3</v>
      </c>
      <c r="E262" s="427">
        <v>3</v>
      </c>
      <c r="F262" s="430">
        <v>2.7</v>
      </c>
      <c r="G262" s="429">
        <v>3.5</v>
      </c>
      <c r="H262" s="427">
        <v>3.3</v>
      </c>
      <c r="I262" s="427">
        <v>3</v>
      </c>
      <c r="J262" s="428">
        <v>2.7</v>
      </c>
      <c r="K262" s="434"/>
    </row>
    <row r="263" spans="1:11" ht="15.75" thickBot="1" x14ac:dyDescent="0.3">
      <c r="A263" s="426"/>
      <c r="B263" s="8" t="str">
        <f>IF($E$153&gt;=1.8,B252,IF(AND($E$153&lt;1.8,$E$153&gt;=1.5),B253,IF(AND($E$153&lt;1.5,$E$153&gt;=1.2),B254,IF(AND($E$153&lt;1.2,$E$153&gt;=0.9),B255,IF(AND($E$153&lt;0.9,$E$153&gt;=0.6),B256,IF(AND($E$153&lt;0.6,$E$153&gt;=0.3),B257,IF($E$153&lt;0.3,$C$193)))))))</f>
        <v>ERROR</v>
      </c>
      <c r="C263" s="432" t="str">
        <f t="shared" ref="C263:J263" si="27">IF($F$153&gt;=1.8,C252,IF(AND($F$153&lt;1.8,$F$153&gt;=1.5),C253,IF(AND($F$153&lt;1.5,$F$153&gt;=1.2),C254,IF(AND($F$153&lt;1.2,$F$153&gt;=0.9),C255,IF(AND($F$153&lt;0.9,$F$153&gt;=0.6),C256,IF(AND($F$153&lt;0.6,$F$153&gt;=0.3),C257,IF($F$153&lt;0.3,C258)))))))</f>
        <v>ERROR</v>
      </c>
      <c r="D263" s="432" t="str">
        <f t="shared" si="27"/>
        <v>ERROR</v>
      </c>
      <c r="E263" s="432" t="str">
        <f t="shared" si="27"/>
        <v>ERROR</v>
      </c>
      <c r="F263" s="432" t="str">
        <f t="shared" si="27"/>
        <v>ERROR</v>
      </c>
      <c r="G263" s="432" t="str">
        <f t="shared" si="27"/>
        <v>ERROR</v>
      </c>
      <c r="H263" s="432" t="str">
        <f t="shared" si="27"/>
        <v>ERROR</v>
      </c>
      <c r="I263" s="432" t="str">
        <f t="shared" si="27"/>
        <v>ERROR</v>
      </c>
      <c r="J263" s="432" t="str">
        <f t="shared" si="27"/>
        <v>ERROR</v>
      </c>
      <c r="K263" s="434"/>
    </row>
    <row r="264" spans="1:11" ht="15.75" thickBot="1" x14ac:dyDescent="0.3">
      <c r="A264" s="426"/>
      <c r="B264" s="426"/>
      <c r="C264" s="426"/>
      <c r="D264" s="426"/>
      <c r="E264" s="426"/>
      <c r="F264" s="426"/>
      <c r="G264" s="426"/>
      <c r="H264" s="426"/>
      <c r="I264" s="426"/>
      <c r="J264" s="426"/>
      <c r="K264" s="434"/>
    </row>
    <row r="265" spans="1:11" ht="15.75" thickBot="1" x14ac:dyDescent="0.3">
      <c r="A265" s="426"/>
      <c r="B265" s="594" t="s">
        <v>385</v>
      </c>
      <c r="C265" s="427" t="s">
        <v>386</v>
      </c>
      <c r="D265" s="427"/>
      <c r="E265" s="427"/>
      <c r="F265" s="427"/>
      <c r="G265" s="426"/>
      <c r="H265" s="426"/>
      <c r="I265" s="426"/>
      <c r="J265" s="426"/>
      <c r="K265" s="434"/>
    </row>
    <row r="266" spans="1:11" ht="15.75" thickBot="1" x14ac:dyDescent="0.3">
      <c r="A266" s="426"/>
      <c r="B266" s="595"/>
      <c r="C266" s="429">
        <v>3.5</v>
      </c>
      <c r="D266" s="427">
        <v>3.3</v>
      </c>
      <c r="E266" s="427">
        <v>3</v>
      </c>
      <c r="F266" s="430">
        <v>2.7</v>
      </c>
      <c r="G266" s="426"/>
      <c r="H266" s="426"/>
      <c r="I266" s="426"/>
      <c r="J266" s="426"/>
      <c r="K266" s="434"/>
    </row>
    <row r="267" spans="1:11" ht="15.75" thickBot="1" x14ac:dyDescent="0.3">
      <c r="A267" s="426"/>
      <c r="B267" s="8" t="str">
        <f>B263</f>
        <v>ERROR</v>
      </c>
      <c r="C267" s="432" t="str">
        <f>IF($G$155="s",G263,IF($G$155="n",C263))</f>
        <v>ERROR</v>
      </c>
      <c r="D267" s="432" t="str">
        <f>IF($G$155="s",H263,IF($G$155="n",D263))</f>
        <v>ERROR</v>
      </c>
      <c r="E267" s="432" t="str">
        <f>IF($G$155="s",I263,IF($G$155="n",E263))</f>
        <v>ERROR</v>
      </c>
      <c r="F267" s="432" t="str">
        <f>IF($G$155="s",J263,IF($G$155="n",F263))</f>
        <v>ERROR</v>
      </c>
      <c r="G267" s="426"/>
      <c r="H267" s="426"/>
      <c r="I267" s="426"/>
      <c r="J267" s="426"/>
      <c r="K267" s="434"/>
    </row>
    <row r="268" spans="1:11" x14ac:dyDescent="0.25">
      <c r="A268" s="426"/>
      <c r="B268" s="426"/>
      <c r="C268" s="426"/>
      <c r="D268" s="426"/>
      <c r="E268" s="426"/>
      <c r="F268" s="426"/>
      <c r="G268" s="426"/>
      <c r="H268" s="426"/>
      <c r="I268" s="426"/>
      <c r="J268" s="426"/>
      <c r="K268" s="434"/>
    </row>
    <row r="269" spans="1:11" x14ac:dyDescent="0.25">
      <c r="A269" s="426"/>
      <c r="B269" s="426" t="s">
        <v>391</v>
      </c>
      <c r="C269" s="426"/>
      <c r="D269" s="426"/>
      <c r="E269" s="426"/>
      <c r="F269" s="426"/>
      <c r="G269" s="426"/>
      <c r="H269" s="426"/>
      <c r="I269" s="426"/>
      <c r="J269" s="426"/>
      <c r="K269" s="434"/>
    </row>
    <row r="270" spans="1:11" x14ac:dyDescent="0.25">
      <c r="A270" s="426"/>
      <c r="B270" s="426"/>
      <c r="C270" s="426"/>
      <c r="D270" s="609" t="s">
        <v>402</v>
      </c>
      <c r="E270" s="609"/>
      <c r="F270" s="609"/>
      <c r="G270" s="426"/>
      <c r="H270" s="426"/>
      <c r="I270" s="426"/>
      <c r="J270" s="426"/>
      <c r="K270" s="434"/>
    </row>
    <row r="271" spans="1:11" x14ac:dyDescent="0.25">
      <c r="A271" s="426"/>
      <c r="B271" s="433" t="s">
        <v>392</v>
      </c>
      <c r="C271" s="433" t="s">
        <v>396</v>
      </c>
      <c r="D271" s="433" t="s">
        <v>233</v>
      </c>
      <c r="E271" s="433" t="s">
        <v>400</v>
      </c>
      <c r="F271" s="433" t="s">
        <v>401</v>
      </c>
      <c r="G271" s="426"/>
      <c r="H271" s="426"/>
      <c r="I271" s="426"/>
      <c r="J271" s="426"/>
      <c r="K271" s="434"/>
    </row>
    <row r="272" spans="1:11" x14ac:dyDescent="0.25">
      <c r="A272" s="426"/>
      <c r="B272" s="433" t="s">
        <v>393</v>
      </c>
      <c r="C272" s="433" t="s">
        <v>397</v>
      </c>
      <c r="D272" s="433">
        <v>1.7</v>
      </c>
      <c r="E272" s="433">
        <v>4</v>
      </c>
      <c r="F272" s="433">
        <v>8</v>
      </c>
      <c r="G272" s="426"/>
      <c r="H272" s="426"/>
      <c r="I272" s="426"/>
      <c r="J272" s="426"/>
      <c r="K272" s="434"/>
    </row>
    <row r="273" spans="1:11" x14ac:dyDescent="0.25">
      <c r="A273" s="426"/>
      <c r="B273" s="433" t="s">
        <v>394</v>
      </c>
      <c r="C273" s="433" t="s">
        <v>398</v>
      </c>
      <c r="D273" s="433">
        <v>1.5</v>
      </c>
      <c r="E273" s="433">
        <v>3</v>
      </c>
      <c r="F273" s="433">
        <v>5</v>
      </c>
      <c r="G273" s="426"/>
      <c r="H273" s="426"/>
      <c r="I273" s="426"/>
      <c r="J273" s="426"/>
      <c r="K273" s="434"/>
    </row>
    <row r="274" spans="1:11" x14ac:dyDescent="0.25">
      <c r="A274" s="426"/>
      <c r="B274" s="433" t="s">
        <v>395</v>
      </c>
      <c r="C274" s="433" t="s">
        <v>399</v>
      </c>
      <c r="D274" s="433">
        <v>1.6</v>
      </c>
      <c r="E274" s="433">
        <v>3</v>
      </c>
      <c r="F274" s="433">
        <v>4</v>
      </c>
      <c r="G274" s="426"/>
      <c r="H274" s="426"/>
      <c r="I274" s="426"/>
      <c r="J274" s="426"/>
      <c r="K274" s="434"/>
    </row>
    <row r="275" spans="1:11" x14ac:dyDescent="0.25">
      <c r="A275" s="426"/>
      <c r="B275" s="426"/>
      <c r="C275" s="426"/>
      <c r="D275" s="426"/>
      <c r="E275" s="426"/>
      <c r="F275" s="426"/>
      <c r="G275" s="426"/>
      <c r="H275" s="426"/>
      <c r="I275" s="426"/>
      <c r="J275" s="426"/>
      <c r="K275" s="434"/>
    </row>
    <row r="276" spans="1:11" x14ac:dyDescent="0.25">
      <c r="A276" s="426"/>
      <c r="B276" s="433" t="s">
        <v>392</v>
      </c>
      <c r="C276" s="433" t="s">
        <v>396</v>
      </c>
      <c r="D276" s="433" t="str">
        <f>IF($G$158="p",D271,IF($G$158="l",E271,IF($G$158="m",F271)))</f>
        <v>Plano</v>
      </c>
      <c r="E276" s="426"/>
      <c r="F276" s="426"/>
      <c r="G276" s="426"/>
      <c r="H276" s="426"/>
      <c r="I276" s="426"/>
      <c r="J276" s="426"/>
      <c r="K276" s="434"/>
    </row>
    <row r="277" spans="1:11" x14ac:dyDescent="0.25">
      <c r="A277" s="426"/>
      <c r="B277" s="433" t="s">
        <v>393</v>
      </c>
      <c r="C277" s="433" t="s">
        <v>397</v>
      </c>
      <c r="D277" s="433">
        <f>IF($G$158="p",D272,IF($G$158="l",E272,IF($G$158="m",F272)))</f>
        <v>1.7</v>
      </c>
      <c r="E277" s="426"/>
      <c r="F277" s="426"/>
      <c r="G277" s="426"/>
      <c r="H277" s="426"/>
      <c r="I277" s="426"/>
      <c r="J277" s="426"/>
      <c r="K277" s="434"/>
    </row>
    <row r="278" spans="1:11" x14ac:dyDescent="0.25">
      <c r="A278" s="426"/>
      <c r="B278" s="433" t="s">
        <v>394</v>
      </c>
      <c r="C278" s="433" t="s">
        <v>398</v>
      </c>
      <c r="D278" s="433">
        <f>IF($G$158="p",D273,IF($G$158="l",E273,IF($G$158="m",F273)))</f>
        <v>1.5</v>
      </c>
      <c r="E278" s="426"/>
      <c r="F278" s="426"/>
      <c r="G278" s="426"/>
      <c r="H278" s="426"/>
      <c r="I278" s="426"/>
      <c r="J278" s="426"/>
      <c r="K278" s="434"/>
    </row>
    <row r="279" spans="1:11" x14ac:dyDescent="0.25">
      <c r="A279" s="426"/>
      <c r="B279" s="433" t="s">
        <v>395</v>
      </c>
      <c r="C279" s="433" t="s">
        <v>399</v>
      </c>
      <c r="D279" s="433">
        <f>IF($G$158="p",D274,IF($G$158="l",E274,IF($G$158="m",F274)))</f>
        <v>1.6</v>
      </c>
      <c r="E279" s="426"/>
      <c r="F279" s="426"/>
      <c r="G279" s="426"/>
      <c r="H279" s="426"/>
      <c r="I279" s="426"/>
      <c r="J279" s="426"/>
      <c r="K279" s="434"/>
    </row>
    <row r="280" spans="1:11" x14ac:dyDescent="0.25">
      <c r="A280" s="424"/>
      <c r="B280" s="434"/>
      <c r="C280" s="434"/>
      <c r="D280" s="434"/>
      <c r="E280" s="434"/>
      <c r="F280" s="434"/>
      <c r="G280" s="434"/>
      <c r="H280" s="434"/>
      <c r="I280" s="434"/>
      <c r="J280" s="434"/>
      <c r="K280" s="434"/>
    </row>
    <row r="281" spans="1:11" x14ac:dyDescent="0.25">
      <c r="A281" s="424"/>
      <c r="B281" s="47"/>
      <c r="C281" s="47"/>
      <c r="D281" s="47"/>
      <c r="E281" s="47"/>
      <c r="F281" s="47"/>
      <c r="G281" s="47"/>
      <c r="H281" s="47"/>
      <c r="I281" s="47"/>
      <c r="J281" s="47"/>
    </row>
    <row r="282" spans="1:11" x14ac:dyDescent="0.25">
      <c r="A282" s="424"/>
      <c r="B282" s="47"/>
      <c r="C282" s="434" t="s">
        <v>417</v>
      </c>
      <c r="D282" s="47"/>
      <c r="E282" s="47"/>
      <c r="F282" s="47"/>
      <c r="G282" s="47"/>
      <c r="H282" s="47"/>
      <c r="I282" s="47"/>
      <c r="J282" s="47"/>
    </row>
    <row r="283" spans="1:11" x14ac:dyDescent="0.25">
      <c r="A283" s="424"/>
      <c r="B283" s="47"/>
      <c r="C283" s="47"/>
      <c r="D283" s="47"/>
      <c r="E283" s="610" t="s">
        <v>419</v>
      </c>
      <c r="F283" s="610"/>
      <c r="G283" s="610"/>
      <c r="H283" s="610"/>
      <c r="I283" s="610"/>
      <c r="J283" s="610"/>
    </row>
    <row r="284" spans="1:11" x14ac:dyDescent="0.25">
      <c r="A284" s="424"/>
      <c r="B284" s="47"/>
      <c r="C284" s="611" t="s">
        <v>421</v>
      </c>
      <c r="D284" s="123"/>
      <c r="E284" s="610">
        <v>110</v>
      </c>
      <c r="F284" s="610"/>
      <c r="G284" s="610" t="s">
        <v>420</v>
      </c>
      <c r="H284" s="610"/>
      <c r="I284" s="610">
        <v>80</v>
      </c>
      <c r="J284" s="610"/>
    </row>
    <row r="285" spans="1:11" x14ac:dyDescent="0.25">
      <c r="A285" s="424"/>
      <c r="B285" s="47"/>
      <c r="C285" s="612"/>
      <c r="D285" s="435" t="s">
        <v>145</v>
      </c>
      <c r="E285" s="435" t="s">
        <v>107</v>
      </c>
      <c r="F285" s="435" t="s">
        <v>408</v>
      </c>
      <c r="G285" s="435" t="s">
        <v>107</v>
      </c>
      <c r="H285" s="435" t="s">
        <v>408</v>
      </c>
      <c r="I285" s="435" t="s">
        <v>107</v>
      </c>
      <c r="J285" s="435" t="s">
        <v>408</v>
      </c>
    </row>
    <row r="286" spans="1:11" x14ac:dyDescent="0.25">
      <c r="A286" s="424"/>
      <c r="B286" s="47"/>
      <c r="C286" s="123" t="s">
        <v>46</v>
      </c>
      <c r="D286" s="123">
        <v>8</v>
      </c>
      <c r="E286" s="123">
        <v>95</v>
      </c>
      <c r="F286" s="123">
        <v>0.36</v>
      </c>
      <c r="G286" s="123">
        <f>E286</f>
        <v>95</v>
      </c>
      <c r="H286" s="123">
        <f>F286</f>
        <v>0.36</v>
      </c>
      <c r="I286" s="123">
        <f>G286</f>
        <v>95</v>
      </c>
      <c r="J286" s="123">
        <f>H286</f>
        <v>0.36</v>
      </c>
    </row>
    <row r="287" spans="1:11" x14ac:dyDescent="0.25">
      <c r="A287" s="424"/>
      <c r="B287" s="47"/>
      <c r="C287" s="123" t="s">
        <v>47</v>
      </c>
      <c r="D287" s="123">
        <v>13</v>
      </c>
      <c r="E287" s="123">
        <v>90</v>
      </c>
      <c r="F287" s="123">
        <v>0.6</v>
      </c>
      <c r="G287" s="123">
        <v>79</v>
      </c>
      <c r="H287" s="123">
        <v>0.52</v>
      </c>
      <c r="I287" s="123">
        <f>G287</f>
        <v>79</v>
      </c>
      <c r="J287" s="123">
        <f>H287</f>
        <v>0.52</v>
      </c>
    </row>
    <row r="288" spans="1:11" x14ac:dyDescent="0.25">
      <c r="A288" s="424"/>
      <c r="B288" s="47"/>
      <c r="C288" s="123" t="s">
        <v>144</v>
      </c>
      <c r="D288" s="123">
        <v>19</v>
      </c>
      <c r="E288" s="123">
        <v>84</v>
      </c>
      <c r="F288" s="123">
        <v>0.8</v>
      </c>
      <c r="G288" s="123">
        <v>74</v>
      </c>
      <c r="H288" s="123">
        <v>0.7</v>
      </c>
      <c r="I288" s="123">
        <v>68</v>
      </c>
      <c r="J288" s="123">
        <v>0.68</v>
      </c>
    </row>
    <row r="289" spans="1:10" x14ac:dyDescent="0.25">
      <c r="A289" s="424"/>
      <c r="B289" s="47"/>
      <c r="C289" s="123" t="s">
        <v>145</v>
      </c>
      <c r="D289" s="123">
        <v>27</v>
      </c>
      <c r="E289" s="123">
        <v>70</v>
      </c>
      <c r="F289" s="123">
        <v>0.95</v>
      </c>
      <c r="G289" s="123">
        <v>66</v>
      </c>
      <c r="H289" s="123">
        <v>0.86</v>
      </c>
      <c r="I289" s="123">
        <v>61</v>
      </c>
      <c r="J289" s="123">
        <v>0.86</v>
      </c>
    </row>
    <row r="290" spans="1:10" x14ac:dyDescent="0.25">
      <c r="A290" s="424"/>
      <c r="B290" s="47"/>
      <c r="C290" s="123" t="s">
        <v>146</v>
      </c>
      <c r="D290" s="123">
        <v>42</v>
      </c>
      <c r="E290" s="123">
        <v>48</v>
      </c>
      <c r="F290" s="123">
        <v>1</v>
      </c>
      <c r="G290" s="123">
        <v>48</v>
      </c>
      <c r="H290" s="123">
        <v>1</v>
      </c>
      <c r="I290" s="123">
        <v>48</v>
      </c>
      <c r="J290" s="123">
        <v>1</v>
      </c>
    </row>
    <row r="291" spans="1:10" x14ac:dyDescent="0.25">
      <c r="A291" s="424"/>
      <c r="B291" s="47"/>
      <c r="C291" s="123" t="s">
        <v>418</v>
      </c>
      <c r="D291" s="436"/>
      <c r="E291" s="436"/>
      <c r="F291" s="436"/>
      <c r="G291" s="436"/>
      <c r="H291" s="436"/>
      <c r="I291" s="436"/>
      <c r="J291" s="436"/>
    </row>
    <row r="292" spans="1:10" x14ac:dyDescent="0.25">
      <c r="A292" s="424"/>
      <c r="B292" s="47"/>
      <c r="C292" s="47"/>
      <c r="D292" s="47"/>
      <c r="E292" s="47"/>
      <c r="F292" s="47"/>
      <c r="G292" s="47"/>
      <c r="H292" s="47"/>
      <c r="I292" s="47"/>
      <c r="J292" s="47"/>
    </row>
    <row r="293" spans="1:10" x14ac:dyDescent="0.25">
      <c r="A293" s="425"/>
      <c r="B293" s="47"/>
      <c r="G293" s="47"/>
      <c r="H293" s="47"/>
      <c r="I293" s="47"/>
      <c r="J293" s="47"/>
    </row>
    <row r="294" spans="1:10" x14ac:dyDescent="0.25">
      <c r="A294" s="425"/>
      <c r="B294" s="47"/>
      <c r="C294" t="s">
        <v>423</v>
      </c>
      <c r="G294" s="47"/>
      <c r="H294" s="47"/>
      <c r="I294" s="47"/>
      <c r="J294" s="47"/>
    </row>
    <row r="295" spans="1:10" x14ac:dyDescent="0.25">
      <c r="A295" s="353"/>
      <c r="B295" s="353"/>
      <c r="C295" s="611" t="s">
        <v>421</v>
      </c>
      <c r="D295" s="123"/>
      <c r="E295" s="610" t="str">
        <f>IF(E162&gt;100,E284,IF(AND(E162&lt;=100,E162&gt;90),G284,IF(E162&lt;90,I284)))</f>
        <v>100-90</v>
      </c>
      <c r="F295" s="610"/>
      <c r="G295" s="47"/>
      <c r="H295" s="47"/>
      <c r="I295" s="47"/>
      <c r="J295" s="47"/>
    </row>
    <row r="296" spans="1:10" x14ac:dyDescent="0.25">
      <c r="A296" s="353"/>
      <c r="B296" s="353"/>
      <c r="C296" s="612"/>
      <c r="D296" s="435" t="s">
        <v>145</v>
      </c>
      <c r="E296" s="435" t="s">
        <v>107</v>
      </c>
      <c r="F296" s="435" t="s">
        <v>408</v>
      </c>
      <c r="G296" s="47"/>
      <c r="H296" s="47"/>
      <c r="I296" s="47"/>
      <c r="J296" s="47"/>
    </row>
    <row r="297" spans="1:10" x14ac:dyDescent="0.25">
      <c r="A297" s="424"/>
      <c r="B297" s="47"/>
      <c r="C297" s="123" t="s">
        <v>46</v>
      </c>
      <c r="D297" s="435">
        <v>8</v>
      </c>
      <c r="E297" s="123">
        <f t="shared" ref="E297:F301" si="28">IF($E$162&gt;100,E286,IF(AND($E$162&lt;=100,$E$162&gt;=90),G286,IF($E$162&lt;90,I286)))</f>
        <v>95</v>
      </c>
      <c r="F297" s="123">
        <f t="shared" si="28"/>
        <v>0.36</v>
      </c>
      <c r="G297" s="47"/>
      <c r="H297" s="47"/>
      <c r="I297" s="47"/>
      <c r="J297" s="47"/>
    </row>
    <row r="298" spans="1:10" x14ac:dyDescent="0.25">
      <c r="A298" s="424"/>
      <c r="B298" s="47"/>
      <c r="C298" s="123" t="s">
        <v>47</v>
      </c>
      <c r="D298" s="435">
        <v>13</v>
      </c>
      <c r="E298" s="123">
        <f t="shared" si="28"/>
        <v>79</v>
      </c>
      <c r="F298" s="123">
        <f t="shared" si="28"/>
        <v>0.52</v>
      </c>
      <c r="G298" s="47"/>
      <c r="H298" s="47"/>
      <c r="I298" s="47"/>
      <c r="J298" s="47"/>
    </row>
    <row r="299" spans="1:10" x14ac:dyDescent="0.25">
      <c r="A299" s="424"/>
      <c r="B299" s="47"/>
      <c r="C299" s="123" t="s">
        <v>144</v>
      </c>
      <c r="D299" s="435">
        <v>19</v>
      </c>
      <c r="E299" s="123">
        <f t="shared" si="28"/>
        <v>74</v>
      </c>
      <c r="F299" s="123">
        <f t="shared" si="28"/>
        <v>0.7</v>
      </c>
      <c r="G299" s="47"/>
      <c r="H299" s="47"/>
      <c r="I299" s="47"/>
      <c r="J299" s="47"/>
    </row>
    <row r="300" spans="1:10" x14ac:dyDescent="0.25">
      <c r="A300" s="424"/>
      <c r="B300" s="47"/>
      <c r="C300" s="123" t="s">
        <v>145</v>
      </c>
      <c r="D300" s="435">
        <v>27</v>
      </c>
      <c r="E300" s="123">
        <f t="shared" si="28"/>
        <v>66</v>
      </c>
      <c r="F300" s="123">
        <f t="shared" si="28"/>
        <v>0.86</v>
      </c>
      <c r="G300" s="47"/>
      <c r="H300" s="47"/>
      <c r="I300" s="47"/>
      <c r="J300" s="47"/>
    </row>
    <row r="301" spans="1:10" x14ac:dyDescent="0.25">
      <c r="A301" s="424"/>
      <c r="B301" s="47"/>
      <c r="C301" s="123" t="s">
        <v>146</v>
      </c>
      <c r="D301" s="435">
        <v>42</v>
      </c>
      <c r="E301" s="123">
        <f t="shared" si="28"/>
        <v>48</v>
      </c>
      <c r="F301" s="123">
        <f t="shared" si="28"/>
        <v>1</v>
      </c>
      <c r="G301" s="47"/>
      <c r="H301" s="47"/>
      <c r="I301" s="47"/>
      <c r="J301" s="47"/>
    </row>
    <row r="302" spans="1:10" x14ac:dyDescent="0.25">
      <c r="A302" s="424"/>
      <c r="B302" s="47"/>
      <c r="C302" s="123" t="s">
        <v>418</v>
      </c>
      <c r="D302" s="436"/>
      <c r="E302" s="436"/>
      <c r="F302" s="436"/>
      <c r="G302" s="47"/>
      <c r="H302" s="47"/>
      <c r="I302" s="47"/>
      <c r="J302" s="47"/>
    </row>
    <row r="303" spans="1:10" x14ac:dyDescent="0.25">
      <c r="A303" s="424"/>
      <c r="B303" s="47"/>
      <c r="C303" s="47"/>
      <c r="D303" s="47"/>
      <c r="E303" s="47"/>
      <c r="F303" s="47"/>
      <c r="G303" s="47"/>
      <c r="H303" s="47"/>
      <c r="I303" s="47"/>
      <c r="J303" s="47"/>
    </row>
    <row r="304" spans="1:10" x14ac:dyDescent="0.25">
      <c r="A304" s="425"/>
      <c r="B304" s="47"/>
      <c r="C304" t="s">
        <v>82</v>
      </c>
      <c r="G304" s="47"/>
      <c r="H304" s="47"/>
      <c r="I304" s="47"/>
      <c r="J304" s="47"/>
    </row>
    <row r="305" spans="1:10" x14ac:dyDescent="0.25">
      <c r="A305" s="47"/>
      <c r="B305" s="47"/>
      <c r="C305" s="611" t="s">
        <v>421</v>
      </c>
      <c r="D305" s="123"/>
      <c r="E305" s="610">
        <v>110</v>
      </c>
      <c r="F305" s="610"/>
      <c r="G305" s="47"/>
      <c r="H305" s="47"/>
      <c r="I305" s="47"/>
      <c r="J305" s="47"/>
    </row>
    <row r="306" spans="1:10" x14ac:dyDescent="0.25">
      <c r="A306" s="47"/>
      <c r="B306" s="564"/>
      <c r="C306" s="612"/>
      <c r="D306" s="435" t="s">
        <v>145</v>
      </c>
      <c r="E306" s="435" t="s">
        <v>107</v>
      </c>
      <c r="F306" s="435" t="s">
        <v>408</v>
      </c>
      <c r="G306" s="47"/>
      <c r="H306" s="47"/>
      <c r="I306" s="47"/>
      <c r="J306" s="47"/>
    </row>
    <row r="307" spans="1:10" x14ac:dyDescent="0.25">
      <c r="A307" s="47"/>
      <c r="B307" s="564"/>
      <c r="C307" s="123" t="s">
        <v>46</v>
      </c>
      <c r="D307" s="435">
        <v>8</v>
      </c>
      <c r="E307" s="123">
        <f t="shared" ref="E307:F311" si="29">IF($F$162&gt;100,E286,IF(AND($F$162&lt;=100,$F$162&gt;=90),G286,IF($F$162&lt;90,I286)))</f>
        <v>95</v>
      </c>
      <c r="F307" s="123">
        <f t="shared" si="29"/>
        <v>0.36</v>
      </c>
      <c r="G307" s="47"/>
      <c r="H307" s="47"/>
      <c r="I307" s="47"/>
      <c r="J307" s="47"/>
    </row>
    <row r="308" spans="1:10" x14ac:dyDescent="0.25">
      <c r="A308" s="47"/>
      <c r="B308" s="353"/>
      <c r="C308" s="123" t="s">
        <v>47</v>
      </c>
      <c r="D308" s="435">
        <v>13</v>
      </c>
      <c r="E308" s="123">
        <f t="shared" si="29"/>
        <v>79</v>
      </c>
      <c r="F308" s="123">
        <f t="shared" si="29"/>
        <v>0.52</v>
      </c>
      <c r="G308" s="47"/>
      <c r="H308" s="47"/>
      <c r="I308" s="47"/>
      <c r="J308" s="47"/>
    </row>
    <row r="309" spans="1:10" x14ac:dyDescent="0.25">
      <c r="A309" s="47"/>
      <c r="B309" s="47"/>
      <c r="C309" s="123" t="s">
        <v>144</v>
      </c>
      <c r="D309" s="435">
        <v>19</v>
      </c>
      <c r="E309" s="123">
        <f t="shared" si="29"/>
        <v>74</v>
      </c>
      <c r="F309" s="123">
        <f t="shared" si="29"/>
        <v>0.7</v>
      </c>
      <c r="G309" s="47"/>
      <c r="H309" s="47"/>
      <c r="I309" s="47"/>
      <c r="J309" s="47"/>
    </row>
    <row r="310" spans="1:10" x14ac:dyDescent="0.25">
      <c r="A310" s="47"/>
      <c r="B310" s="47"/>
      <c r="C310" s="123" t="s">
        <v>145</v>
      </c>
      <c r="D310" s="435">
        <v>27</v>
      </c>
      <c r="E310" s="123">
        <f t="shared" si="29"/>
        <v>66</v>
      </c>
      <c r="F310" s="123">
        <f t="shared" si="29"/>
        <v>0.86</v>
      </c>
      <c r="G310" s="47"/>
      <c r="H310" s="47"/>
      <c r="I310" s="47"/>
      <c r="J310" s="47"/>
    </row>
    <row r="311" spans="1:10" x14ac:dyDescent="0.25">
      <c r="A311" s="47"/>
      <c r="B311" s="47"/>
      <c r="C311" s="123" t="s">
        <v>146</v>
      </c>
      <c r="D311" s="435">
        <v>42</v>
      </c>
      <c r="E311" s="123">
        <f t="shared" si="29"/>
        <v>48</v>
      </c>
      <c r="F311" s="123">
        <f t="shared" si="29"/>
        <v>1</v>
      </c>
      <c r="G311" s="47"/>
      <c r="H311" s="47"/>
      <c r="I311" s="47"/>
      <c r="J311" s="47"/>
    </row>
    <row r="312" spans="1:10" x14ac:dyDescent="0.25">
      <c r="A312" s="47"/>
      <c r="B312" s="47"/>
      <c r="C312" s="123" t="s">
        <v>418</v>
      </c>
      <c r="D312" s="436"/>
      <c r="E312" s="436"/>
      <c r="F312" s="436"/>
      <c r="G312" s="47"/>
      <c r="H312" s="47"/>
      <c r="I312" s="47"/>
      <c r="J312" s="47"/>
    </row>
    <row r="313" spans="1:10" x14ac:dyDescent="0.25">
      <c r="A313" s="47"/>
      <c r="B313" s="47"/>
      <c r="C313" s="47"/>
      <c r="D313" s="47"/>
      <c r="E313" s="47"/>
      <c r="F313" s="47"/>
      <c r="G313" s="47"/>
      <c r="H313" s="47"/>
      <c r="I313" s="47"/>
      <c r="J313" s="47"/>
    </row>
    <row r="314" spans="1:10" x14ac:dyDescent="0.25">
      <c r="A314" s="47"/>
      <c r="B314" s="47"/>
      <c r="C314" t="s">
        <v>484</v>
      </c>
      <c r="G314" s="47"/>
      <c r="H314" s="47"/>
      <c r="I314" s="47"/>
      <c r="J314" s="47"/>
    </row>
    <row r="315" spans="1:10" x14ac:dyDescent="0.25">
      <c r="A315" s="47"/>
      <c r="B315" s="47"/>
      <c r="C315" s="611" t="s">
        <v>421</v>
      </c>
      <c r="D315" s="123"/>
      <c r="E315" s="610" t="str">
        <f t="shared" ref="E315:E321" si="30">IF($G$162&gt;100,E284,IF(AND($G$162&lt;=100,$G$162&gt;=90),G284,IF($G$162&lt;90,I284)))</f>
        <v>100-90</v>
      </c>
      <c r="F315" s="610"/>
      <c r="G315" s="47"/>
      <c r="H315" s="47"/>
      <c r="I315" s="47"/>
      <c r="J315" s="47"/>
    </row>
    <row r="316" spans="1:10" x14ac:dyDescent="0.25">
      <c r="A316" s="47"/>
      <c r="B316" s="47"/>
      <c r="C316" s="612"/>
      <c r="D316" s="435" t="s">
        <v>145</v>
      </c>
      <c r="E316" s="123" t="str">
        <f t="shared" si="30"/>
        <v>V</v>
      </c>
      <c r="F316" s="123" t="str">
        <f t="shared" ref="F316:F321" si="31">IF($G$162&gt;100,F285,IF(AND($G$162&lt;=100,$G$162&gt;=90),H285,IF($G$162&lt;90,J285)))</f>
        <v>V/C</v>
      </c>
      <c r="G316" s="47"/>
      <c r="H316" s="47"/>
      <c r="I316" s="47"/>
      <c r="J316" s="47"/>
    </row>
    <row r="317" spans="1:10" x14ac:dyDescent="0.25">
      <c r="A317" s="47"/>
      <c r="B317" s="47"/>
      <c r="C317" s="123" t="s">
        <v>46</v>
      </c>
      <c r="D317" s="435">
        <v>8</v>
      </c>
      <c r="E317" s="123">
        <f t="shared" si="30"/>
        <v>95</v>
      </c>
      <c r="F317" s="123">
        <f t="shared" si="31"/>
        <v>0.36</v>
      </c>
      <c r="G317" s="47"/>
      <c r="H317" s="47"/>
      <c r="I317" s="47"/>
      <c r="J317" s="47"/>
    </row>
    <row r="318" spans="1:10" x14ac:dyDescent="0.25">
      <c r="A318" s="47"/>
      <c r="B318" s="47"/>
      <c r="C318" s="123" t="s">
        <v>47</v>
      </c>
      <c r="D318" s="435">
        <v>13</v>
      </c>
      <c r="E318" s="123">
        <f t="shared" si="30"/>
        <v>79</v>
      </c>
      <c r="F318" s="123">
        <f t="shared" si="31"/>
        <v>0.52</v>
      </c>
      <c r="G318" s="47"/>
      <c r="H318" s="47"/>
      <c r="I318" s="47"/>
      <c r="J318" s="47"/>
    </row>
    <row r="319" spans="1:10" x14ac:dyDescent="0.25">
      <c r="A319" s="47"/>
      <c r="B319" s="47"/>
      <c r="C319" s="123" t="s">
        <v>144</v>
      </c>
      <c r="D319" s="435">
        <v>19</v>
      </c>
      <c r="E319" s="123">
        <f t="shared" si="30"/>
        <v>74</v>
      </c>
      <c r="F319" s="123">
        <f t="shared" si="31"/>
        <v>0.7</v>
      </c>
      <c r="G319" s="47"/>
      <c r="H319" s="47"/>
      <c r="I319" s="47"/>
      <c r="J319" s="47"/>
    </row>
    <row r="320" spans="1:10" x14ac:dyDescent="0.25">
      <c r="A320" s="47"/>
      <c r="B320" s="47"/>
      <c r="C320" s="123" t="s">
        <v>145</v>
      </c>
      <c r="D320" s="435">
        <v>27</v>
      </c>
      <c r="E320" s="123">
        <f t="shared" si="30"/>
        <v>66</v>
      </c>
      <c r="F320" s="123">
        <f t="shared" si="31"/>
        <v>0.86</v>
      </c>
      <c r="G320" s="47"/>
      <c r="H320" s="47"/>
      <c r="I320" s="47"/>
      <c r="J320" s="47"/>
    </row>
    <row r="321" spans="1:13" x14ac:dyDescent="0.25">
      <c r="A321" s="47"/>
      <c r="B321" s="47"/>
      <c r="C321" s="123" t="s">
        <v>146</v>
      </c>
      <c r="D321" s="435">
        <v>42</v>
      </c>
      <c r="E321" s="123">
        <f t="shared" si="30"/>
        <v>48</v>
      </c>
      <c r="F321" s="123">
        <f t="shared" si="31"/>
        <v>1</v>
      </c>
      <c r="G321" s="47"/>
      <c r="H321" s="47"/>
      <c r="I321" s="47"/>
      <c r="J321" s="47"/>
    </row>
    <row r="322" spans="1:13" x14ac:dyDescent="0.25">
      <c r="A322" s="47"/>
      <c r="B322" s="47"/>
      <c r="C322" s="123" t="s">
        <v>418</v>
      </c>
      <c r="D322" s="436"/>
      <c r="E322" s="436"/>
      <c r="F322" s="436"/>
      <c r="G322" s="47"/>
      <c r="H322" s="47"/>
      <c r="I322" s="47"/>
      <c r="J322" s="47"/>
    </row>
    <row r="323" spans="1:13" x14ac:dyDescent="0.25">
      <c r="A323" s="47"/>
      <c r="B323" s="47"/>
      <c r="C323" s="47"/>
      <c r="D323" s="47"/>
      <c r="E323" s="353"/>
      <c r="F323" s="47"/>
      <c r="G323" s="47"/>
      <c r="H323" s="47"/>
      <c r="I323" s="47"/>
      <c r="J323" s="47"/>
    </row>
    <row r="324" spans="1:13" x14ac:dyDescent="0.25">
      <c r="A324" s="47"/>
      <c r="B324" s="47"/>
      <c r="C324" s="47"/>
      <c r="D324" s="47"/>
      <c r="E324" s="113" t="s">
        <v>493</v>
      </c>
      <c r="F324" s="47"/>
      <c r="G324" s="47"/>
      <c r="H324" s="47" t="s">
        <v>489</v>
      </c>
      <c r="I324" s="47" t="s">
        <v>490</v>
      </c>
      <c r="J324" s="47" t="s">
        <v>491</v>
      </c>
      <c r="K324" s="47" t="s">
        <v>492</v>
      </c>
    </row>
    <row r="325" spans="1:13" x14ac:dyDescent="0.25">
      <c r="A325" s="47"/>
      <c r="B325" s="125" t="s">
        <v>107</v>
      </c>
      <c r="C325" s="125" t="s">
        <v>143</v>
      </c>
      <c r="D325" s="125" t="s">
        <v>380</v>
      </c>
      <c r="E325" s="125" t="s">
        <v>409</v>
      </c>
      <c r="F325" s="125" t="s">
        <v>19</v>
      </c>
      <c r="G325" s="164" t="s">
        <v>331</v>
      </c>
      <c r="H325" s="66" t="s">
        <v>486</v>
      </c>
      <c r="I325" s="66" t="s">
        <v>487</v>
      </c>
      <c r="J325" s="66" t="s">
        <v>488</v>
      </c>
      <c r="K325" s="66" t="s">
        <v>494</v>
      </c>
      <c r="L325" s="108"/>
      <c r="M325" s="257" t="s">
        <v>495</v>
      </c>
    </row>
    <row r="326" spans="1:13" x14ac:dyDescent="0.25">
      <c r="A326" s="47"/>
      <c r="B326" s="393">
        <f>J3/12</f>
        <v>375</v>
      </c>
      <c r="C326" s="95">
        <f>IF(B326&lt;=100,0.83,IF(AND(B326&gt;100,B326&lt;=200),0.87,IF(AND(B326&gt;200,B326&lt;=400),0.9,IF(AND(B326&gt;400,B326&lt;=500),0.91,IF(AND(B326&gt;500,B326&lt;=600),0.91,IF(AND(B326&gt;600,B326&lt;=700),0.92,IF(AND(B326&gt;700,B326&lt;=800),0.92,IF(AND(B326&gt;800,B326&lt;=900),0.93,IF(AND(B326&gt;900,B326&lt;=1000),0.93,IF(AND(B326&gt;1000,B326&lt;=1100),0.93,IF(AND(B326&gt;1100,B326&lt;=1200),0.94,IF(AND(B326&gt;1200,B326&lt;=1300),0.94,IF(AND(B326&gt;1300,B326&lt;=1400),0.94,IF(AND(B326&gt;1400,B326&lt;=1500),0.94,IF(AND(B326&gt;1500,B326&lt;=1600),0.95,IF(AND(B326&gt;1600,B326&lt;=1700),0.95,IF(AND(B326&gt;1700,B326&lt;=1800),0.95,IF(AND(B326&gt;1800,B326&lt;=1900),0.95,IF(B326&gt;1900,0.96)))))))))))))))))))</f>
        <v>0.9</v>
      </c>
      <c r="D326" s="200">
        <f>B326/C326</f>
        <v>416.66666666666663</v>
      </c>
      <c r="E326" s="203" t="e">
        <f>D326/($E$151*$E$150*$E$152*$E$156*$E$157)</f>
        <v>#VALUE!</v>
      </c>
      <c r="F326" s="435" t="e">
        <f>IF(E326&lt;=$F$297,$C$297,IF(AND(E326&gt;$F$297,E326&lt;=$F$298),$C$298,IF(AND(E326&gt;$F$298,E326&lt;=$F$299),$C$299,IF(AND(E326&gt;$F$299,E326&lt;=$F$300),$C$300,IF(AND(E326&gt;$F$300,E326&lt;=$F$301),$C$301,IF(E326&gt;$F$301,$C$302))))))</f>
        <v>#VALUE!</v>
      </c>
      <c r="G326" s="435" t="e">
        <f>IF(E326&lt;=$F$297,$E$297,IF(AND(E326&gt;$F$297,E326&lt;=$F$298),$E$298,IF(AND(E326&gt;$F$298,E326&lt;=$F$299),$E$299,IF(AND(E326&gt;$F$299,E326&lt;=$F$300),$E$300,IF(AND(E326&gt;$F$300,E326&lt;=$F$301),$E$301,IF(E326&gt;$F$301,$E$302))))))</f>
        <v>#VALUE!</v>
      </c>
      <c r="H326" s="353" t="e">
        <f>IF(G326&gt;=$E$297,$E$297,IF(AND(G326&lt;$E$297,G326&gt;=$E$298),$E$298,IF(AND(G326&lt;$E$298,G326&gt;=$E$299),$E$299,IF(AND(G326&lt;$E$299,G326&gt;=$E$300),$E$300,IF(AND(G326&lt;$E$300,G326&gt;=$E$301),$E$301,$E$301)))))</f>
        <v>#VALUE!</v>
      </c>
      <c r="I326" s="353" t="e">
        <f>IF(H326=$E$297,$E$298,IF(H326=$E$298,$E$299,IF(H326=$E$299,$E$300,IF(H326=$E$300,$E$301))))</f>
        <v>#VALUE!</v>
      </c>
      <c r="J326" s="353" t="e">
        <f>IF(E326&lt;=$F$297,$F$297,IF(AND(E326&gt;$F$297,E326&lt;=$F$298),$F$298,IF(AND(E326&gt;$F$298,E326&lt;=$F$299),$F$299,IF(AND(E326&gt;$F$299,E326&lt;=$F$300),$F$300,IF(AND(E326&gt;$F$300,E326&lt;=$F$301),$F$301,$F$301)))))</f>
        <v>#VALUE!</v>
      </c>
      <c r="K326" s="353" t="e">
        <f t="shared" ref="K326:K355" si="32">IF(J326=$F$297,$F$298,IF(J326=$F$298,$F$299,IF(J326=$F$299,$F$300,IF(J326=$F$300,$F$301,F271))))</f>
        <v>#VALUE!</v>
      </c>
      <c r="L326" s="36" t="e">
        <f>I326+(J326-E326)*((H326-I326)/(K326-J326))</f>
        <v>#VALUE!</v>
      </c>
      <c r="M326" s="36" t="e">
        <f>IF(AND(H326=I326,J326=K326),$E$301,L326)</f>
        <v>#VALUE!</v>
      </c>
    </row>
    <row r="327" spans="1:13" x14ac:dyDescent="0.25">
      <c r="A327" s="47"/>
      <c r="B327" s="393">
        <f t="shared" ref="B327:B356" si="33">J4/12</f>
        <v>386.25</v>
      </c>
      <c r="C327" s="95">
        <f t="shared" ref="C327:C356" si="34">IF(B327&lt;=100,0.83,IF(AND(B327&gt;100,B327&lt;=200),0.87,IF(AND(B327&gt;200,B327&lt;=400),0.9,IF(AND(B327&gt;400,B327&lt;=500),0.91,IF(AND(B327&gt;500,B327&lt;=600),0.91,IF(AND(B327&gt;600,B327&lt;=700),0.92,IF(AND(B327&gt;700,B327&lt;=800),0.92,IF(AND(B327&gt;800,B327&lt;=900),0.93,IF(AND(B327&gt;900,B327&lt;=1000),0.93,IF(AND(B327&gt;1000,B327&lt;=1100),0.93,IF(AND(B327&gt;1100,B327&lt;=1200),0.94,IF(AND(B327&gt;1200,B327&lt;=1300),0.94,IF(AND(B327&gt;1300,B327&lt;=1400),0.94,IF(AND(B327&gt;1400,B327&lt;=1500),0.94,IF(AND(B327&gt;1500,B327&lt;=1600),0.95,IF(AND(B327&gt;1600,B327&lt;=1700),0.95,IF(AND(B327&gt;1700,B327&lt;=1800),0.95,IF(AND(B327&gt;1800,B327&lt;=1900),0.95,IF(B327&gt;1900,0.96)))))))))))))))))))</f>
        <v>0.9</v>
      </c>
      <c r="D327" s="200">
        <f t="shared" ref="D327:D390" si="35">B327/C327</f>
        <v>429.16666666666663</v>
      </c>
      <c r="E327" s="203" t="e">
        <f t="shared" ref="E327:E356" si="36">D327/($E$151*$E$150*$E$152*$E$156*$E$157)</f>
        <v>#VALUE!</v>
      </c>
      <c r="F327" s="435" t="e">
        <f t="shared" ref="F327:F356" si="37">IF(E327&lt;=$F$297,$C$297,IF(AND(E327&gt;$F$297,E327&lt;=$F$298),$C$298,IF(AND(E327&gt;$F$298,E327&lt;=$F$299),$C$299,IF(AND(E327&gt;$F$299,E327&lt;=$F$300),$C$300,IF(AND(E327&gt;$F$300,E327&lt;=$F$301),$C$301,IF(E327&gt;$F$301,$C$302))))))</f>
        <v>#VALUE!</v>
      </c>
      <c r="G327" s="435" t="e">
        <f t="shared" ref="G327:G356" si="38">IF(E327&lt;=$F$297,$E$297,IF(AND(E327&gt;$F$297,E327&lt;=$F$298),$E$298,IF(AND(E327&gt;$F$298,E327&lt;=$F$299),$E$299,IF(AND(E327&gt;$F$299,E327&lt;=$F$300),$E$300,IF(AND(E327&gt;$F$300,E327&lt;=$F$301),$E$301,IF(E327&gt;$F$301,$E$302))))))</f>
        <v>#VALUE!</v>
      </c>
      <c r="H327" s="353" t="e">
        <f t="shared" ref="H327:H356" si="39">IF(G327&gt;=$E$297,$E$297,IF(AND(G327&lt;$E$297,G327&gt;=$E$298),$E$298,IF(AND(G327&lt;$E$298,G327&gt;=$E$299),$E$299,IF(AND(G327&lt;$E$299,G327&gt;=$E$300),$E$300,IF(AND(G327&lt;$E$300,G327&gt;=$E$301),$E$301,$E$301)))))</f>
        <v>#VALUE!</v>
      </c>
      <c r="I327" s="353" t="e">
        <f t="shared" ref="I327:I356" si="40">IF(H327=$E$297,$E$298,IF(H327=$E$298,$E$299,IF(H327=$E$299,$E$300,IF(H327=$E$300,$E$301))))</f>
        <v>#VALUE!</v>
      </c>
      <c r="J327" s="353" t="e">
        <f t="shared" ref="J327:J355" si="41">IF(E327&lt;=$F$297,$F$297,IF(AND(E327&gt;$F$297,E327&lt;=$F$298),$F$298,IF(AND(E327&gt;$F$298,E327&lt;=$F$299),$F$299,IF(AND(E327&gt;$F$299,E327&lt;=$F$300),$F$300,IF(AND(E327&gt;$F$300,E327&lt;=$F$301),$F$301,$F$301)))))</f>
        <v>#VALUE!</v>
      </c>
      <c r="K327" s="353" t="e">
        <f t="shared" si="32"/>
        <v>#VALUE!</v>
      </c>
      <c r="L327" s="36" t="e">
        <f t="shared" ref="L327:L356" si="42">I327+(J327-E327)*((H327-I327)/(K327-J327))</f>
        <v>#VALUE!</v>
      </c>
      <c r="M327" s="36" t="e">
        <f t="shared" ref="M327:M356" si="43">IF(AND(H327=I327,J327=K327),$E$301,L327)</f>
        <v>#VALUE!</v>
      </c>
    </row>
    <row r="328" spans="1:13" x14ac:dyDescent="0.25">
      <c r="A328" s="47"/>
      <c r="B328" s="393">
        <f t="shared" si="33"/>
        <v>397.83749999999986</v>
      </c>
      <c r="C328" s="95">
        <f t="shared" si="34"/>
        <v>0.9</v>
      </c>
      <c r="D328" s="200">
        <f t="shared" si="35"/>
        <v>442.04166666666652</v>
      </c>
      <c r="E328" s="203" t="e">
        <f t="shared" si="36"/>
        <v>#VALUE!</v>
      </c>
      <c r="F328" s="435" t="e">
        <f t="shared" si="37"/>
        <v>#VALUE!</v>
      </c>
      <c r="G328" s="435" t="e">
        <f t="shared" si="38"/>
        <v>#VALUE!</v>
      </c>
      <c r="H328" s="353" t="e">
        <f t="shared" si="39"/>
        <v>#VALUE!</v>
      </c>
      <c r="I328" s="353" t="e">
        <f t="shared" si="40"/>
        <v>#VALUE!</v>
      </c>
      <c r="J328" s="353" t="e">
        <f t="shared" si="41"/>
        <v>#VALUE!</v>
      </c>
      <c r="K328" s="353" t="e">
        <f t="shared" si="32"/>
        <v>#VALUE!</v>
      </c>
      <c r="L328" s="36" t="e">
        <f t="shared" si="42"/>
        <v>#VALUE!</v>
      </c>
      <c r="M328" s="36" t="e">
        <f t="shared" si="43"/>
        <v>#VALUE!</v>
      </c>
    </row>
    <row r="329" spans="1:13" x14ac:dyDescent="0.25">
      <c r="A329" s="47"/>
      <c r="B329" s="393">
        <f t="shared" si="33"/>
        <v>409.77262500000001</v>
      </c>
      <c r="C329" s="95">
        <f t="shared" si="34"/>
        <v>0.91</v>
      </c>
      <c r="D329" s="200">
        <f t="shared" si="35"/>
        <v>450.29958791208793</v>
      </c>
      <c r="E329" s="203" t="e">
        <f t="shared" si="36"/>
        <v>#VALUE!</v>
      </c>
      <c r="F329" s="435" t="e">
        <f t="shared" si="37"/>
        <v>#VALUE!</v>
      </c>
      <c r="G329" s="435" t="e">
        <f t="shared" si="38"/>
        <v>#VALUE!</v>
      </c>
      <c r="H329" s="353" t="e">
        <f t="shared" si="39"/>
        <v>#VALUE!</v>
      </c>
      <c r="I329" s="353" t="e">
        <f t="shared" si="40"/>
        <v>#VALUE!</v>
      </c>
      <c r="J329" s="353" t="e">
        <f t="shared" si="41"/>
        <v>#VALUE!</v>
      </c>
      <c r="K329" s="353" t="e">
        <f t="shared" si="32"/>
        <v>#VALUE!</v>
      </c>
      <c r="L329" s="36" t="e">
        <f t="shared" si="42"/>
        <v>#VALUE!</v>
      </c>
      <c r="M329" s="36" t="e">
        <f t="shared" si="43"/>
        <v>#VALUE!</v>
      </c>
    </row>
    <row r="330" spans="1:13" x14ac:dyDescent="0.25">
      <c r="A330" s="47"/>
      <c r="B330" s="393">
        <f t="shared" si="33"/>
        <v>422.06580375000004</v>
      </c>
      <c r="C330" s="95">
        <f t="shared" si="34"/>
        <v>0.91</v>
      </c>
      <c r="D330" s="200">
        <f t="shared" si="35"/>
        <v>463.80857554945061</v>
      </c>
      <c r="E330" s="203" t="e">
        <f t="shared" si="36"/>
        <v>#VALUE!</v>
      </c>
      <c r="F330" s="435" t="e">
        <f t="shared" si="37"/>
        <v>#VALUE!</v>
      </c>
      <c r="G330" s="435" t="e">
        <f t="shared" si="38"/>
        <v>#VALUE!</v>
      </c>
      <c r="H330" s="353" t="e">
        <f t="shared" si="39"/>
        <v>#VALUE!</v>
      </c>
      <c r="I330" s="353" t="e">
        <f t="shared" si="40"/>
        <v>#VALUE!</v>
      </c>
      <c r="J330" s="353" t="e">
        <f t="shared" si="41"/>
        <v>#VALUE!</v>
      </c>
      <c r="K330" s="353" t="e">
        <f t="shared" si="32"/>
        <v>#VALUE!</v>
      </c>
      <c r="L330" s="36" t="e">
        <f t="shared" si="42"/>
        <v>#VALUE!</v>
      </c>
      <c r="M330" s="36" t="e">
        <f t="shared" si="43"/>
        <v>#VALUE!</v>
      </c>
    </row>
    <row r="331" spans="1:13" x14ac:dyDescent="0.25">
      <c r="A331" s="47"/>
      <c r="B331" s="393">
        <f t="shared" si="33"/>
        <v>434.72777786249998</v>
      </c>
      <c r="C331" s="95">
        <f t="shared" si="34"/>
        <v>0.91</v>
      </c>
      <c r="D331" s="200">
        <f t="shared" si="35"/>
        <v>477.722832815934</v>
      </c>
      <c r="E331" s="203" t="e">
        <f t="shared" si="36"/>
        <v>#VALUE!</v>
      </c>
      <c r="F331" s="435" t="e">
        <f t="shared" si="37"/>
        <v>#VALUE!</v>
      </c>
      <c r="G331" s="435" t="e">
        <f t="shared" si="38"/>
        <v>#VALUE!</v>
      </c>
      <c r="H331" s="353" t="e">
        <f t="shared" si="39"/>
        <v>#VALUE!</v>
      </c>
      <c r="I331" s="353" t="e">
        <f t="shared" si="40"/>
        <v>#VALUE!</v>
      </c>
      <c r="J331" s="353" t="e">
        <f t="shared" si="41"/>
        <v>#VALUE!</v>
      </c>
      <c r="K331" s="353" t="e">
        <f t="shared" si="32"/>
        <v>#VALUE!</v>
      </c>
      <c r="L331" s="36" t="e">
        <f t="shared" si="42"/>
        <v>#VALUE!</v>
      </c>
      <c r="M331" s="36" t="e">
        <f t="shared" si="43"/>
        <v>#VALUE!</v>
      </c>
    </row>
    <row r="332" spans="1:13" x14ac:dyDescent="0.25">
      <c r="A332" s="47"/>
      <c r="B332" s="393">
        <f t="shared" si="33"/>
        <v>447.76961119837489</v>
      </c>
      <c r="C332" s="95">
        <f t="shared" si="34"/>
        <v>0.91</v>
      </c>
      <c r="D332" s="200">
        <f t="shared" si="35"/>
        <v>492.05451780041193</v>
      </c>
      <c r="E332" s="203" t="e">
        <f t="shared" si="36"/>
        <v>#VALUE!</v>
      </c>
      <c r="F332" s="435" t="e">
        <f t="shared" si="37"/>
        <v>#VALUE!</v>
      </c>
      <c r="G332" s="435" t="e">
        <f t="shared" si="38"/>
        <v>#VALUE!</v>
      </c>
      <c r="H332" s="353" t="e">
        <f t="shared" si="39"/>
        <v>#VALUE!</v>
      </c>
      <c r="I332" s="353" t="e">
        <f t="shared" si="40"/>
        <v>#VALUE!</v>
      </c>
      <c r="J332" s="353" t="e">
        <f t="shared" si="41"/>
        <v>#VALUE!</v>
      </c>
      <c r="K332" s="353" t="e">
        <f t="shared" si="32"/>
        <v>#VALUE!</v>
      </c>
      <c r="L332" s="36" t="e">
        <f t="shared" si="42"/>
        <v>#VALUE!</v>
      </c>
      <c r="M332" s="36" t="e">
        <f t="shared" si="43"/>
        <v>#VALUE!</v>
      </c>
    </row>
    <row r="333" spans="1:13" x14ac:dyDescent="0.25">
      <c r="A333" s="47"/>
      <c r="B333" s="393">
        <f t="shared" si="33"/>
        <v>461.20269953432626</v>
      </c>
      <c r="C333" s="95">
        <f t="shared" si="34"/>
        <v>0.91</v>
      </c>
      <c r="D333" s="200">
        <f t="shared" si="35"/>
        <v>506.81615333442443</v>
      </c>
      <c r="E333" s="203" t="e">
        <f t="shared" si="36"/>
        <v>#VALUE!</v>
      </c>
      <c r="F333" s="435" t="e">
        <f t="shared" si="37"/>
        <v>#VALUE!</v>
      </c>
      <c r="G333" s="435" t="e">
        <f t="shared" si="38"/>
        <v>#VALUE!</v>
      </c>
      <c r="H333" s="353" t="e">
        <f t="shared" si="39"/>
        <v>#VALUE!</v>
      </c>
      <c r="I333" s="353" t="e">
        <f t="shared" si="40"/>
        <v>#VALUE!</v>
      </c>
      <c r="J333" s="353" t="e">
        <f t="shared" si="41"/>
        <v>#VALUE!</v>
      </c>
      <c r="K333" s="353" t="e">
        <f t="shared" si="32"/>
        <v>#VALUE!</v>
      </c>
      <c r="L333" s="36" t="e">
        <f t="shared" si="42"/>
        <v>#VALUE!</v>
      </c>
      <c r="M333" s="36" t="e">
        <f t="shared" si="43"/>
        <v>#VALUE!</v>
      </c>
    </row>
    <row r="334" spans="1:13" x14ac:dyDescent="0.25">
      <c r="A334" s="47"/>
      <c r="B334" s="393">
        <f t="shared" si="33"/>
        <v>475.03878052035606</v>
      </c>
      <c r="C334" s="95">
        <f t="shared" si="34"/>
        <v>0.91</v>
      </c>
      <c r="D334" s="200">
        <f t="shared" si="35"/>
        <v>522.02063793445723</v>
      </c>
      <c r="E334" s="203" t="e">
        <f t="shared" si="36"/>
        <v>#VALUE!</v>
      </c>
      <c r="F334" s="435" t="e">
        <f t="shared" si="37"/>
        <v>#VALUE!</v>
      </c>
      <c r="G334" s="435" t="e">
        <f t="shared" si="38"/>
        <v>#VALUE!</v>
      </c>
      <c r="H334" s="353" t="e">
        <f t="shared" si="39"/>
        <v>#VALUE!</v>
      </c>
      <c r="I334" s="353" t="e">
        <f t="shared" si="40"/>
        <v>#VALUE!</v>
      </c>
      <c r="J334" s="353" t="e">
        <f t="shared" si="41"/>
        <v>#VALUE!</v>
      </c>
      <c r="K334" s="353" t="e">
        <f t="shared" si="32"/>
        <v>#VALUE!</v>
      </c>
      <c r="L334" s="36" t="e">
        <f t="shared" si="42"/>
        <v>#VALUE!</v>
      </c>
      <c r="M334" s="36" t="e">
        <f t="shared" si="43"/>
        <v>#VALUE!</v>
      </c>
    </row>
    <row r="335" spans="1:13" x14ac:dyDescent="0.25">
      <c r="A335" s="47"/>
      <c r="B335" s="393">
        <f t="shared" si="33"/>
        <v>489.28994393596668</v>
      </c>
      <c r="C335" s="95">
        <f t="shared" si="34"/>
        <v>0.91</v>
      </c>
      <c r="D335" s="200">
        <f t="shared" si="35"/>
        <v>537.68125707249078</v>
      </c>
      <c r="E335" s="203" t="e">
        <f t="shared" si="36"/>
        <v>#VALUE!</v>
      </c>
      <c r="F335" s="435" t="e">
        <f t="shared" si="37"/>
        <v>#VALUE!</v>
      </c>
      <c r="G335" s="435" t="e">
        <f t="shared" si="38"/>
        <v>#VALUE!</v>
      </c>
      <c r="H335" s="353" t="e">
        <f t="shared" si="39"/>
        <v>#VALUE!</v>
      </c>
      <c r="I335" s="353" t="e">
        <f t="shared" si="40"/>
        <v>#VALUE!</v>
      </c>
      <c r="J335" s="353" t="e">
        <f t="shared" si="41"/>
        <v>#VALUE!</v>
      </c>
      <c r="K335" s="353" t="e">
        <f t="shared" si="32"/>
        <v>#VALUE!</v>
      </c>
      <c r="L335" s="36" t="e">
        <f t="shared" si="42"/>
        <v>#VALUE!</v>
      </c>
      <c r="M335" s="36" t="e">
        <f t="shared" si="43"/>
        <v>#VALUE!</v>
      </c>
    </row>
    <row r="336" spans="1:13" x14ac:dyDescent="0.25">
      <c r="A336" s="47"/>
      <c r="B336" s="393">
        <f t="shared" si="33"/>
        <v>503.96864225404573</v>
      </c>
      <c r="C336" s="95">
        <f t="shared" si="34"/>
        <v>0.91</v>
      </c>
      <c r="D336" s="200">
        <f t="shared" si="35"/>
        <v>553.81169478466563</v>
      </c>
      <c r="E336" s="203" t="e">
        <f t="shared" si="36"/>
        <v>#VALUE!</v>
      </c>
      <c r="F336" s="435" t="e">
        <f t="shared" si="37"/>
        <v>#VALUE!</v>
      </c>
      <c r="G336" s="435" t="e">
        <f t="shared" si="38"/>
        <v>#VALUE!</v>
      </c>
      <c r="H336" s="353" t="e">
        <f t="shared" si="39"/>
        <v>#VALUE!</v>
      </c>
      <c r="I336" s="353" t="e">
        <f t="shared" si="40"/>
        <v>#VALUE!</v>
      </c>
      <c r="J336" s="353" t="e">
        <f t="shared" si="41"/>
        <v>#VALUE!</v>
      </c>
      <c r="K336" s="353" t="e">
        <f t="shared" si="32"/>
        <v>#VALUE!</v>
      </c>
      <c r="L336" s="36" t="e">
        <f t="shared" si="42"/>
        <v>#VALUE!</v>
      </c>
      <c r="M336" s="36" t="e">
        <f t="shared" si="43"/>
        <v>#VALUE!</v>
      </c>
    </row>
    <row r="337" spans="1:13" x14ac:dyDescent="0.25">
      <c r="A337" s="47"/>
      <c r="B337" s="393">
        <f t="shared" si="33"/>
        <v>519.0877015216671</v>
      </c>
      <c r="C337" s="95">
        <f t="shared" si="34"/>
        <v>0.91</v>
      </c>
      <c r="D337" s="200">
        <f t="shared" si="35"/>
        <v>570.42604562820554</v>
      </c>
      <c r="E337" s="203" t="e">
        <f t="shared" si="36"/>
        <v>#VALUE!</v>
      </c>
      <c r="F337" s="435" t="e">
        <f t="shared" si="37"/>
        <v>#VALUE!</v>
      </c>
      <c r="G337" s="435" t="e">
        <f t="shared" si="38"/>
        <v>#VALUE!</v>
      </c>
      <c r="H337" s="353" t="e">
        <f t="shared" si="39"/>
        <v>#VALUE!</v>
      </c>
      <c r="I337" s="353" t="e">
        <f t="shared" si="40"/>
        <v>#VALUE!</v>
      </c>
      <c r="J337" s="353" t="e">
        <f t="shared" si="41"/>
        <v>#VALUE!</v>
      </c>
      <c r="K337" s="353" t="e">
        <f t="shared" si="32"/>
        <v>#VALUE!</v>
      </c>
      <c r="L337" s="36" t="e">
        <f t="shared" si="42"/>
        <v>#VALUE!</v>
      </c>
      <c r="M337" s="36" t="e">
        <f t="shared" si="43"/>
        <v>#VALUE!</v>
      </c>
    </row>
    <row r="338" spans="1:13" x14ac:dyDescent="0.25">
      <c r="A338" s="564"/>
      <c r="B338" s="393">
        <f t="shared" si="33"/>
        <v>534.66033256731714</v>
      </c>
      <c r="C338" s="95">
        <f t="shared" si="34"/>
        <v>0.91</v>
      </c>
      <c r="D338" s="200">
        <f t="shared" si="35"/>
        <v>587.53882699705173</v>
      </c>
      <c r="E338" s="203" t="e">
        <f t="shared" si="36"/>
        <v>#VALUE!</v>
      </c>
      <c r="F338" s="435" t="e">
        <f t="shared" si="37"/>
        <v>#VALUE!</v>
      </c>
      <c r="G338" s="435" t="e">
        <f t="shared" si="38"/>
        <v>#VALUE!</v>
      </c>
      <c r="H338" s="353" t="e">
        <f t="shared" si="39"/>
        <v>#VALUE!</v>
      </c>
      <c r="I338" s="353" t="e">
        <f t="shared" si="40"/>
        <v>#VALUE!</v>
      </c>
      <c r="J338" s="353" t="e">
        <f t="shared" si="41"/>
        <v>#VALUE!</v>
      </c>
      <c r="K338" s="353" t="e">
        <f t="shared" si="32"/>
        <v>#VALUE!</v>
      </c>
      <c r="L338" s="36" t="e">
        <f t="shared" si="42"/>
        <v>#VALUE!</v>
      </c>
      <c r="M338" s="36" t="e">
        <f t="shared" si="43"/>
        <v>#VALUE!</v>
      </c>
    </row>
    <row r="339" spans="1:13" x14ac:dyDescent="0.25">
      <c r="A339" s="564"/>
      <c r="B339" s="393">
        <f t="shared" si="33"/>
        <v>550.70014254433647</v>
      </c>
      <c r="C339" s="95">
        <f t="shared" si="34"/>
        <v>0.91</v>
      </c>
      <c r="D339" s="200">
        <f t="shared" si="35"/>
        <v>605.16499180696314</v>
      </c>
      <c r="E339" s="203" t="e">
        <f t="shared" si="36"/>
        <v>#VALUE!</v>
      </c>
      <c r="F339" s="435" t="e">
        <f t="shared" si="37"/>
        <v>#VALUE!</v>
      </c>
      <c r="G339" s="435" t="e">
        <f t="shared" si="38"/>
        <v>#VALUE!</v>
      </c>
      <c r="H339" s="353" t="e">
        <f t="shared" si="39"/>
        <v>#VALUE!</v>
      </c>
      <c r="I339" s="353" t="e">
        <f t="shared" si="40"/>
        <v>#VALUE!</v>
      </c>
      <c r="J339" s="353" t="e">
        <f t="shared" si="41"/>
        <v>#VALUE!</v>
      </c>
      <c r="K339" s="353" t="e">
        <f t="shared" si="32"/>
        <v>#VALUE!</v>
      </c>
      <c r="L339" s="36" t="e">
        <f t="shared" si="42"/>
        <v>#VALUE!</v>
      </c>
      <c r="M339" s="36" t="e">
        <f t="shared" si="43"/>
        <v>#VALUE!</v>
      </c>
    </row>
    <row r="340" spans="1:13" x14ac:dyDescent="0.25">
      <c r="A340" s="593"/>
      <c r="B340" s="393">
        <f t="shared" si="33"/>
        <v>567.2211468206666</v>
      </c>
      <c r="C340" s="95">
        <f t="shared" si="34"/>
        <v>0.91</v>
      </c>
      <c r="D340" s="200">
        <f t="shared" si="35"/>
        <v>623.31994156117207</v>
      </c>
      <c r="E340" s="203" t="e">
        <f t="shared" si="36"/>
        <v>#VALUE!</v>
      </c>
      <c r="F340" s="435" t="e">
        <f t="shared" si="37"/>
        <v>#VALUE!</v>
      </c>
      <c r="G340" s="435" t="e">
        <f t="shared" si="38"/>
        <v>#VALUE!</v>
      </c>
      <c r="H340" s="353" t="e">
        <f t="shared" si="39"/>
        <v>#VALUE!</v>
      </c>
      <c r="I340" s="353" t="e">
        <f t="shared" si="40"/>
        <v>#VALUE!</v>
      </c>
      <c r="J340" s="353" t="e">
        <f t="shared" si="41"/>
        <v>#VALUE!</v>
      </c>
      <c r="K340" s="353" t="e">
        <f t="shared" si="32"/>
        <v>#VALUE!</v>
      </c>
      <c r="L340" s="36" t="e">
        <f t="shared" si="42"/>
        <v>#VALUE!</v>
      </c>
      <c r="M340" s="36" t="e">
        <f t="shared" si="43"/>
        <v>#VALUE!</v>
      </c>
    </row>
    <row r="341" spans="1:13" x14ac:dyDescent="0.25">
      <c r="A341" s="593"/>
      <c r="B341" s="393">
        <f t="shared" si="33"/>
        <v>584.23778122528665</v>
      </c>
      <c r="C341" s="95">
        <f t="shared" si="34"/>
        <v>0.91</v>
      </c>
      <c r="D341" s="200">
        <f t="shared" si="35"/>
        <v>642.01953980800727</v>
      </c>
      <c r="E341" s="203" t="e">
        <f t="shared" si="36"/>
        <v>#VALUE!</v>
      </c>
      <c r="F341" s="435" t="e">
        <f t="shared" si="37"/>
        <v>#VALUE!</v>
      </c>
      <c r="G341" s="435" t="e">
        <f t="shared" si="38"/>
        <v>#VALUE!</v>
      </c>
      <c r="H341" s="353" t="e">
        <f t="shared" si="39"/>
        <v>#VALUE!</v>
      </c>
      <c r="I341" s="353" t="e">
        <f t="shared" si="40"/>
        <v>#VALUE!</v>
      </c>
      <c r="J341" s="353" t="e">
        <f t="shared" si="41"/>
        <v>#VALUE!</v>
      </c>
      <c r="K341" s="353" t="e">
        <f t="shared" si="32"/>
        <v>#VALUE!</v>
      </c>
      <c r="L341" s="36" t="e">
        <f t="shared" si="42"/>
        <v>#VALUE!</v>
      </c>
      <c r="M341" s="36" t="e">
        <f t="shared" si="43"/>
        <v>#VALUE!</v>
      </c>
    </row>
    <row r="342" spans="1:13" x14ac:dyDescent="0.25">
      <c r="A342" s="593"/>
      <c r="B342" s="393">
        <f t="shared" si="33"/>
        <v>601.76491466204516</v>
      </c>
      <c r="C342" s="95">
        <f t="shared" si="34"/>
        <v>0.92</v>
      </c>
      <c r="D342" s="200">
        <f t="shared" si="35"/>
        <v>654.09229854570128</v>
      </c>
      <c r="E342" s="203" t="e">
        <f t="shared" si="36"/>
        <v>#VALUE!</v>
      </c>
      <c r="F342" s="435" t="e">
        <f t="shared" si="37"/>
        <v>#VALUE!</v>
      </c>
      <c r="G342" s="435" t="e">
        <f t="shared" si="38"/>
        <v>#VALUE!</v>
      </c>
      <c r="H342" s="353" t="e">
        <f t="shared" si="39"/>
        <v>#VALUE!</v>
      </c>
      <c r="I342" s="353" t="e">
        <f t="shared" si="40"/>
        <v>#VALUE!</v>
      </c>
      <c r="J342" s="353" t="e">
        <f t="shared" si="41"/>
        <v>#VALUE!</v>
      </c>
      <c r="K342" s="353" t="e">
        <f t="shared" si="32"/>
        <v>#VALUE!</v>
      </c>
      <c r="L342" s="36" t="e">
        <f t="shared" si="42"/>
        <v>#VALUE!</v>
      </c>
      <c r="M342" s="36" t="e">
        <f t="shared" si="43"/>
        <v>#VALUE!</v>
      </c>
    </row>
    <row r="343" spans="1:13" x14ac:dyDescent="0.25">
      <c r="A343" s="593"/>
      <c r="B343" s="393">
        <f t="shared" si="33"/>
        <v>619.8178621019066</v>
      </c>
      <c r="C343" s="95">
        <f t="shared" si="34"/>
        <v>0.92</v>
      </c>
      <c r="D343" s="200">
        <f t="shared" si="35"/>
        <v>673.71506750207232</v>
      </c>
      <c r="E343" s="203" t="e">
        <f t="shared" si="36"/>
        <v>#VALUE!</v>
      </c>
      <c r="F343" s="435" t="e">
        <f t="shared" si="37"/>
        <v>#VALUE!</v>
      </c>
      <c r="G343" s="435" t="e">
        <f t="shared" si="38"/>
        <v>#VALUE!</v>
      </c>
      <c r="H343" s="353" t="e">
        <f t="shared" si="39"/>
        <v>#VALUE!</v>
      </c>
      <c r="I343" s="353" t="e">
        <f t="shared" si="40"/>
        <v>#VALUE!</v>
      </c>
      <c r="J343" s="353" t="e">
        <f t="shared" si="41"/>
        <v>#VALUE!</v>
      </c>
      <c r="K343" s="353" t="e">
        <f t="shared" si="32"/>
        <v>#VALUE!</v>
      </c>
      <c r="L343" s="36" t="e">
        <f t="shared" si="42"/>
        <v>#VALUE!</v>
      </c>
      <c r="M343" s="36" t="e">
        <f t="shared" si="43"/>
        <v>#VALUE!</v>
      </c>
    </row>
    <row r="344" spans="1:13" x14ac:dyDescent="0.25">
      <c r="A344" s="593"/>
      <c r="B344" s="393">
        <f t="shared" si="33"/>
        <v>638.4123979649637</v>
      </c>
      <c r="C344" s="95">
        <f t="shared" si="34"/>
        <v>0.92</v>
      </c>
      <c r="D344" s="200">
        <f t="shared" si="35"/>
        <v>693.92651952713447</v>
      </c>
      <c r="E344" s="203" t="e">
        <f t="shared" si="36"/>
        <v>#VALUE!</v>
      </c>
      <c r="F344" s="435" t="e">
        <f t="shared" si="37"/>
        <v>#VALUE!</v>
      </c>
      <c r="G344" s="435" t="e">
        <f t="shared" si="38"/>
        <v>#VALUE!</v>
      </c>
      <c r="H344" s="353" t="e">
        <f t="shared" si="39"/>
        <v>#VALUE!</v>
      </c>
      <c r="I344" s="353" t="e">
        <f t="shared" si="40"/>
        <v>#VALUE!</v>
      </c>
      <c r="J344" s="353" t="e">
        <f t="shared" si="41"/>
        <v>#VALUE!</v>
      </c>
      <c r="K344" s="353" t="e">
        <f t="shared" si="32"/>
        <v>#VALUE!</v>
      </c>
      <c r="L344" s="36" t="e">
        <f t="shared" si="42"/>
        <v>#VALUE!</v>
      </c>
      <c r="M344" s="36" t="e">
        <f t="shared" si="43"/>
        <v>#VALUE!</v>
      </c>
    </row>
    <row r="345" spans="1:13" x14ac:dyDescent="0.25">
      <c r="A345" s="593"/>
      <c r="B345" s="393">
        <f t="shared" si="33"/>
        <v>657.56476990391263</v>
      </c>
      <c r="C345" s="95">
        <f t="shared" si="34"/>
        <v>0.92</v>
      </c>
      <c r="D345" s="200">
        <f t="shared" si="35"/>
        <v>714.74431511294847</v>
      </c>
      <c r="E345" s="203" t="e">
        <f t="shared" si="36"/>
        <v>#VALUE!</v>
      </c>
      <c r="F345" s="435" t="e">
        <f t="shared" si="37"/>
        <v>#VALUE!</v>
      </c>
      <c r="G345" s="435" t="e">
        <f t="shared" si="38"/>
        <v>#VALUE!</v>
      </c>
      <c r="H345" s="353" t="e">
        <f t="shared" si="39"/>
        <v>#VALUE!</v>
      </c>
      <c r="I345" s="353" t="e">
        <f t="shared" si="40"/>
        <v>#VALUE!</v>
      </c>
      <c r="J345" s="353" t="e">
        <f t="shared" si="41"/>
        <v>#VALUE!</v>
      </c>
      <c r="K345" s="353" t="e">
        <f t="shared" si="32"/>
        <v>#VALUE!</v>
      </c>
      <c r="L345" s="36" t="e">
        <f t="shared" si="42"/>
        <v>#VALUE!</v>
      </c>
      <c r="M345" s="36" t="e">
        <f t="shared" si="43"/>
        <v>#VALUE!</v>
      </c>
    </row>
    <row r="346" spans="1:13" x14ac:dyDescent="0.25">
      <c r="A346" s="593"/>
      <c r="B346" s="393">
        <f t="shared" si="33"/>
        <v>677.29171300103008</v>
      </c>
      <c r="C346" s="95">
        <f t="shared" si="34"/>
        <v>0.92</v>
      </c>
      <c r="D346" s="200">
        <f t="shared" si="35"/>
        <v>736.18664456633701</v>
      </c>
      <c r="E346" s="203" t="e">
        <f t="shared" si="36"/>
        <v>#VALUE!</v>
      </c>
      <c r="F346" s="435" t="e">
        <f t="shared" si="37"/>
        <v>#VALUE!</v>
      </c>
      <c r="G346" s="435" t="e">
        <f t="shared" si="38"/>
        <v>#VALUE!</v>
      </c>
      <c r="H346" s="353" t="e">
        <f t="shared" si="39"/>
        <v>#VALUE!</v>
      </c>
      <c r="I346" s="353" t="e">
        <f t="shared" si="40"/>
        <v>#VALUE!</v>
      </c>
      <c r="J346" s="353" t="e">
        <f t="shared" si="41"/>
        <v>#VALUE!</v>
      </c>
      <c r="K346" s="353" t="e">
        <f t="shared" si="32"/>
        <v>#VALUE!</v>
      </c>
      <c r="L346" s="36" t="e">
        <f t="shared" si="42"/>
        <v>#VALUE!</v>
      </c>
      <c r="M346" s="36" t="e">
        <f t="shared" si="43"/>
        <v>#VALUE!</v>
      </c>
    </row>
    <row r="347" spans="1:13" x14ac:dyDescent="0.25">
      <c r="A347" s="593"/>
      <c r="B347" s="393">
        <f t="shared" si="33"/>
        <v>697.61046439106076</v>
      </c>
      <c r="C347" s="95">
        <f t="shared" si="34"/>
        <v>0.92</v>
      </c>
      <c r="D347" s="200">
        <f t="shared" si="35"/>
        <v>758.27224390332685</v>
      </c>
      <c r="E347" s="203" t="e">
        <f t="shared" si="36"/>
        <v>#VALUE!</v>
      </c>
      <c r="F347" s="435" t="e">
        <f t="shared" si="37"/>
        <v>#VALUE!</v>
      </c>
      <c r="G347" s="435" t="e">
        <f t="shared" si="38"/>
        <v>#VALUE!</v>
      </c>
      <c r="H347" s="353" t="e">
        <f t="shared" si="39"/>
        <v>#VALUE!</v>
      </c>
      <c r="I347" s="353" t="e">
        <f t="shared" si="40"/>
        <v>#VALUE!</v>
      </c>
      <c r="J347" s="353" t="e">
        <f t="shared" si="41"/>
        <v>#VALUE!</v>
      </c>
      <c r="K347" s="353" t="e">
        <f t="shared" si="32"/>
        <v>#VALUE!</v>
      </c>
      <c r="L347" s="36" t="e">
        <f t="shared" si="42"/>
        <v>#VALUE!</v>
      </c>
      <c r="M347" s="36" t="e">
        <f t="shared" si="43"/>
        <v>#VALUE!</v>
      </c>
    </row>
    <row r="348" spans="1:13" x14ac:dyDescent="0.25">
      <c r="A348" s="593"/>
      <c r="B348" s="393">
        <f t="shared" si="33"/>
        <v>718.53877832279261</v>
      </c>
      <c r="C348" s="95">
        <f t="shared" si="34"/>
        <v>0.92</v>
      </c>
      <c r="D348" s="200">
        <f t="shared" si="35"/>
        <v>781.02041122042669</v>
      </c>
      <c r="E348" s="203" t="e">
        <f t="shared" si="36"/>
        <v>#VALUE!</v>
      </c>
      <c r="F348" s="435" t="e">
        <f t="shared" si="37"/>
        <v>#VALUE!</v>
      </c>
      <c r="G348" s="435" t="e">
        <f t="shared" si="38"/>
        <v>#VALUE!</v>
      </c>
      <c r="H348" s="353" t="e">
        <f t="shared" si="39"/>
        <v>#VALUE!</v>
      </c>
      <c r="I348" s="353" t="e">
        <f t="shared" si="40"/>
        <v>#VALUE!</v>
      </c>
      <c r="J348" s="353" t="e">
        <f t="shared" si="41"/>
        <v>#VALUE!</v>
      </c>
      <c r="K348" s="353" t="e">
        <f t="shared" si="32"/>
        <v>#VALUE!</v>
      </c>
      <c r="L348" s="36" t="e">
        <f t="shared" si="42"/>
        <v>#VALUE!</v>
      </c>
      <c r="M348" s="36" t="e">
        <f t="shared" si="43"/>
        <v>#VALUE!</v>
      </c>
    </row>
    <row r="349" spans="1:13" x14ac:dyDescent="0.25">
      <c r="A349" s="593"/>
      <c r="B349" s="393">
        <f t="shared" si="33"/>
        <v>740.09494167247647</v>
      </c>
      <c r="C349" s="95">
        <f t="shared" si="34"/>
        <v>0.92</v>
      </c>
      <c r="D349" s="200">
        <f t="shared" si="35"/>
        <v>804.45102355703955</v>
      </c>
      <c r="E349" s="203" t="e">
        <f t="shared" si="36"/>
        <v>#VALUE!</v>
      </c>
      <c r="F349" s="435" t="e">
        <f t="shared" si="37"/>
        <v>#VALUE!</v>
      </c>
      <c r="G349" s="435" t="e">
        <f t="shared" si="38"/>
        <v>#VALUE!</v>
      </c>
      <c r="H349" s="353" t="e">
        <f t="shared" si="39"/>
        <v>#VALUE!</v>
      </c>
      <c r="I349" s="353" t="e">
        <f t="shared" si="40"/>
        <v>#VALUE!</v>
      </c>
      <c r="J349" s="353" t="e">
        <f t="shared" si="41"/>
        <v>#VALUE!</v>
      </c>
      <c r="K349" s="353" t="e">
        <f t="shared" si="32"/>
        <v>#VALUE!</v>
      </c>
      <c r="L349" s="36" t="e">
        <f t="shared" si="42"/>
        <v>#VALUE!</v>
      </c>
      <c r="M349" s="36" t="e">
        <f t="shared" si="43"/>
        <v>#VALUE!</v>
      </c>
    </row>
    <row r="350" spans="1:13" x14ac:dyDescent="0.25">
      <c r="A350" s="593"/>
      <c r="B350" s="393">
        <f t="shared" si="33"/>
        <v>762.29778992265074</v>
      </c>
      <c r="C350" s="95">
        <f t="shared" si="34"/>
        <v>0.92</v>
      </c>
      <c r="D350" s="200">
        <f t="shared" si="35"/>
        <v>828.58455426375076</v>
      </c>
      <c r="E350" s="203" t="e">
        <f t="shared" si="36"/>
        <v>#VALUE!</v>
      </c>
      <c r="F350" s="435" t="e">
        <f t="shared" si="37"/>
        <v>#VALUE!</v>
      </c>
      <c r="G350" s="435" t="e">
        <f t="shared" si="38"/>
        <v>#VALUE!</v>
      </c>
      <c r="H350" s="353" t="e">
        <f t="shared" si="39"/>
        <v>#VALUE!</v>
      </c>
      <c r="I350" s="353" t="e">
        <f t="shared" si="40"/>
        <v>#VALUE!</v>
      </c>
      <c r="J350" s="353" t="e">
        <f t="shared" si="41"/>
        <v>#VALUE!</v>
      </c>
      <c r="K350" s="353" t="e">
        <f t="shared" si="32"/>
        <v>#VALUE!</v>
      </c>
      <c r="L350" s="36" t="e">
        <f t="shared" si="42"/>
        <v>#VALUE!</v>
      </c>
      <c r="M350" s="36" t="e">
        <f t="shared" si="43"/>
        <v>#VALUE!</v>
      </c>
    </row>
    <row r="351" spans="1:13" x14ac:dyDescent="0.25">
      <c r="A351" s="593"/>
      <c r="B351" s="393">
        <f t="shared" si="33"/>
        <v>785.16672362033023</v>
      </c>
      <c r="C351" s="95">
        <f t="shared" si="34"/>
        <v>0.92</v>
      </c>
      <c r="D351" s="200">
        <f t="shared" si="35"/>
        <v>853.44209089166327</v>
      </c>
      <c r="E351" s="203" t="e">
        <f t="shared" si="36"/>
        <v>#VALUE!</v>
      </c>
      <c r="F351" s="435" t="e">
        <f t="shared" si="37"/>
        <v>#VALUE!</v>
      </c>
      <c r="G351" s="435" t="e">
        <f t="shared" si="38"/>
        <v>#VALUE!</v>
      </c>
      <c r="H351" s="353" t="e">
        <f t="shared" si="39"/>
        <v>#VALUE!</v>
      </c>
      <c r="I351" s="353" t="e">
        <f t="shared" si="40"/>
        <v>#VALUE!</v>
      </c>
      <c r="J351" s="353" t="e">
        <f t="shared" si="41"/>
        <v>#VALUE!</v>
      </c>
      <c r="K351" s="353" t="e">
        <f t="shared" si="32"/>
        <v>#VALUE!</v>
      </c>
      <c r="L351" s="36" t="e">
        <f t="shared" si="42"/>
        <v>#VALUE!</v>
      </c>
      <c r="M351" s="36" t="e">
        <f t="shared" si="43"/>
        <v>#VALUE!</v>
      </c>
    </row>
    <row r="352" spans="1:13" x14ac:dyDescent="0.25">
      <c r="A352" s="593"/>
      <c r="B352" s="393">
        <f t="shared" si="33"/>
        <v>808.72172532894012</v>
      </c>
      <c r="C352" s="95">
        <f t="shared" si="34"/>
        <v>0.93</v>
      </c>
      <c r="D352" s="200">
        <f t="shared" si="35"/>
        <v>869.59325304187109</v>
      </c>
      <c r="E352" s="203" t="e">
        <f t="shared" si="36"/>
        <v>#VALUE!</v>
      </c>
      <c r="F352" s="435" t="e">
        <f t="shared" si="37"/>
        <v>#VALUE!</v>
      </c>
      <c r="G352" s="435" t="e">
        <f t="shared" si="38"/>
        <v>#VALUE!</v>
      </c>
      <c r="H352" s="353" t="e">
        <f t="shared" si="39"/>
        <v>#VALUE!</v>
      </c>
      <c r="I352" s="353" t="e">
        <f t="shared" si="40"/>
        <v>#VALUE!</v>
      </c>
      <c r="J352" s="353" t="e">
        <f t="shared" si="41"/>
        <v>#VALUE!</v>
      </c>
      <c r="K352" s="353" t="e">
        <f t="shared" si="32"/>
        <v>#VALUE!</v>
      </c>
      <c r="L352" s="36" t="e">
        <f t="shared" si="42"/>
        <v>#VALUE!</v>
      </c>
      <c r="M352" s="36" t="e">
        <f t="shared" si="43"/>
        <v>#VALUE!</v>
      </c>
    </row>
    <row r="353" spans="1:13" x14ac:dyDescent="0.25">
      <c r="A353" s="593"/>
      <c r="B353" s="393">
        <f t="shared" si="33"/>
        <v>832.9833770888082</v>
      </c>
      <c r="C353" s="95">
        <f t="shared" si="34"/>
        <v>0.93</v>
      </c>
      <c r="D353" s="200">
        <f t="shared" si="35"/>
        <v>895.68105063312703</v>
      </c>
      <c r="E353" s="203" t="e">
        <f t="shared" si="36"/>
        <v>#VALUE!</v>
      </c>
      <c r="F353" s="435" t="e">
        <f t="shared" si="37"/>
        <v>#VALUE!</v>
      </c>
      <c r="G353" s="435" t="e">
        <f t="shared" si="38"/>
        <v>#VALUE!</v>
      </c>
      <c r="H353" s="353" t="e">
        <f t="shared" si="39"/>
        <v>#VALUE!</v>
      </c>
      <c r="I353" s="353" t="e">
        <f t="shared" si="40"/>
        <v>#VALUE!</v>
      </c>
      <c r="J353" s="353" t="e">
        <f t="shared" si="41"/>
        <v>#VALUE!</v>
      </c>
      <c r="K353" s="353" t="e">
        <f t="shared" si="32"/>
        <v>#VALUE!</v>
      </c>
      <c r="L353" s="36" t="e">
        <f t="shared" si="42"/>
        <v>#VALUE!</v>
      </c>
      <c r="M353" s="36" t="e">
        <f t="shared" si="43"/>
        <v>#VALUE!</v>
      </c>
    </row>
    <row r="354" spans="1:13" x14ac:dyDescent="0.25">
      <c r="A354" s="47"/>
      <c r="B354" s="393">
        <f t="shared" si="33"/>
        <v>857.97287840147271</v>
      </c>
      <c r="C354" s="95">
        <f t="shared" si="34"/>
        <v>0.93</v>
      </c>
      <c r="D354" s="200">
        <f t="shared" si="35"/>
        <v>922.55148215212114</v>
      </c>
      <c r="E354" s="203" t="e">
        <f t="shared" si="36"/>
        <v>#VALUE!</v>
      </c>
      <c r="F354" s="435" t="e">
        <f t="shared" si="37"/>
        <v>#VALUE!</v>
      </c>
      <c r="G354" s="435" t="e">
        <f t="shared" si="38"/>
        <v>#VALUE!</v>
      </c>
      <c r="H354" s="353" t="e">
        <f t="shared" si="39"/>
        <v>#VALUE!</v>
      </c>
      <c r="I354" s="353" t="e">
        <f t="shared" si="40"/>
        <v>#VALUE!</v>
      </c>
      <c r="J354" s="353" t="e">
        <f t="shared" si="41"/>
        <v>#VALUE!</v>
      </c>
      <c r="K354" s="353" t="e">
        <f t="shared" si="32"/>
        <v>#VALUE!</v>
      </c>
      <c r="L354" s="36" t="e">
        <f t="shared" si="42"/>
        <v>#VALUE!</v>
      </c>
      <c r="M354" s="36" t="e">
        <f t="shared" si="43"/>
        <v>#VALUE!</v>
      </c>
    </row>
    <row r="355" spans="1:13" x14ac:dyDescent="0.25">
      <c r="A355" s="47"/>
      <c r="B355" s="393">
        <f t="shared" si="33"/>
        <v>883.71206475351664</v>
      </c>
      <c r="C355" s="95">
        <f t="shared" si="34"/>
        <v>0.93</v>
      </c>
      <c r="D355" s="200">
        <f t="shared" si="35"/>
        <v>950.22802661668447</v>
      </c>
      <c r="E355" s="203" t="e">
        <f t="shared" si="36"/>
        <v>#VALUE!</v>
      </c>
      <c r="F355" s="435" t="e">
        <f t="shared" si="37"/>
        <v>#VALUE!</v>
      </c>
      <c r="G355" s="435" t="e">
        <f t="shared" si="38"/>
        <v>#VALUE!</v>
      </c>
      <c r="H355" s="353" t="e">
        <f t="shared" si="39"/>
        <v>#VALUE!</v>
      </c>
      <c r="I355" s="353" t="e">
        <f t="shared" si="40"/>
        <v>#VALUE!</v>
      </c>
      <c r="J355" s="353" t="e">
        <f t="shared" si="41"/>
        <v>#VALUE!</v>
      </c>
      <c r="K355" s="353" t="e">
        <f t="shared" si="32"/>
        <v>#VALUE!</v>
      </c>
      <c r="L355" s="36" t="e">
        <f t="shared" si="42"/>
        <v>#VALUE!</v>
      </c>
      <c r="M355" s="36" t="e">
        <f t="shared" si="43"/>
        <v>#VALUE!</v>
      </c>
    </row>
    <row r="356" spans="1:13" x14ac:dyDescent="0.25">
      <c r="A356" s="564"/>
      <c r="B356" s="393">
        <f t="shared" si="33"/>
        <v>910.22342669612226</v>
      </c>
      <c r="C356" s="95">
        <f t="shared" si="34"/>
        <v>0.93</v>
      </c>
      <c r="D356" s="200">
        <f t="shared" si="35"/>
        <v>978.73486741518514</v>
      </c>
      <c r="E356" s="203" t="e">
        <f t="shared" si="36"/>
        <v>#VALUE!</v>
      </c>
      <c r="F356" s="435" t="e">
        <f t="shared" si="37"/>
        <v>#VALUE!</v>
      </c>
      <c r="G356" s="435" t="e">
        <f t="shared" si="38"/>
        <v>#VALUE!</v>
      </c>
      <c r="H356" s="353" t="e">
        <f t="shared" si="39"/>
        <v>#VALUE!</v>
      </c>
      <c r="I356" s="353" t="e">
        <f t="shared" si="40"/>
        <v>#VALUE!</v>
      </c>
      <c r="J356" s="353" t="e">
        <f>IF(E356&lt;=$F$297,$F$297,IF(AND(E356&gt;$F$297,E356&lt;=$F$298),$F$298,IF(AND(E356&gt;$F$298,E356&lt;=$F$299),$F$299,IF(AND(E356&gt;$F$299,E356&lt;=$F$300),$F$300,IF(AND(E356&gt;$F$300,E356&lt;=$F$301),$F$301,$F$301)))))</f>
        <v>#VALUE!</v>
      </c>
      <c r="K356" s="353" t="e">
        <f>IF(J356=$F$297,$F$298,IF(J356=$F$298,$F$299,IF(J356=$F$299,$F$300,IF(J356=$F$300,$F$301,F301))))</f>
        <v>#VALUE!</v>
      </c>
      <c r="L356" s="36" t="e">
        <f t="shared" si="42"/>
        <v>#VALUE!</v>
      </c>
      <c r="M356" s="36" t="e">
        <f t="shared" si="43"/>
        <v>#VALUE!</v>
      </c>
    </row>
    <row r="357" spans="1:13" x14ac:dyDescent="0.25">
      <c r="A357" s="564"/>
      <c r="B357" s="393">
        <f>J34/12</f>
        <v>937.53012949700599</v>
      </c>
      <c r="C357" s="95">
        <f>IF(B357&lt;=100,0.83,IF(AND(B357&gt;100,B357&lt;=200),0.87,IF(AND(B357&gt;200,B357&lt;=400),0.9,IF(AND(B357&gt;400,B357&lt;=500),0.91,IF(AND(B357&gt;500,B357&lt;=600),0.91,IF(AND(B357&gt;600,B357&lt;=700),0.92,IF(AND(B357&gt;700,B357&lt;=800),0.92,IF(AND(B357&gt;800,B357&lt;=900),0.93,IF(AND(B357&gt;900,B357&lt;=1000),0.93,IF(AND(B357&gt;1000,B357&lt;=1100),0.93,IF(AND(B357&gt;1100,B357&lt;=1200),0.94,IF(AND(B357&gt;1200,B357&lt;=1300),0.94,IF(AND(B357&gt;1300,B357&lt;=1400),0.94,IF(AND(B357&gt;1400,B357&lt;=1500),0.94,IF(AND(B357&gt;1500,B357&lt;=1600),0.95,IF(AND(B357&gt;1600,B357&lt;=1700),0.95,IF(AND(B357&gt;1700,B357&lt;=1800),0.95,IF(AND(B357&gt;1800,B357&lt;=1900),0.95,IF(B357&gt;1900,0.96)))))))))))))))))))</f>
        <v>0.93</v>
      </c>
      <c r="D357" s="200">
        <f>B357/C357</f>
        <v>1008.0969134376408</v>
      </c>
      <c r="E357" s="203" t="e">
        <f>D357/($E$151*$E$150*$E$152*$E$156*$E$157)</f>
        <v>#VALUE!</v>
      </c>
      <c r="F357" s="435" t="e">
        <f>IF(E357&lt;=$F$297,$C$297,IF(AND(E357&gt;$F$297,E357&lt;=$F$298),$C$298,IF(AND(E357&gt;$F$298,E357&lt;=$F$299),$C$299,IF(AND(E357&gt;$F$299,E357&lt;=$F$300),$C$300,IF(AND(E357&gt;$F$300,E357&lt;=$F$301),$C$301,IF(E357&gt;$F$301,$C$302))))))</f>
        <v>#VALUE!</v>
      </c>
      <c r="G357" s="435" t="e">
        <f>IF(E357&lt;=$F$297,$E$297,IF(AND(E357&gt;$F$297,E357&lt;=$F$298),$E$298,IF(AND(E357&gt;$F$298,E357&lt;=$F$299),$E$299,IF(AND(E357&gt;$F$299,E357&lt;=$F$300),$E$300,IF(AND(E357&gt;$F$300,E357&lt;=$F$301),$E$301,IF(E357&gt;$F$301,$E$302))))))</f>
        <v>#VALUE!</v>
      </c>
      <c r="H357" s="353" t="e">
        <f>IF(G357&gt;=$E$297,$E$297,IF(AND(G357&lt;$E$297,G357&gt;=$E$298),$E$298,IF(AND(G357&lt;$E$298,G357&gt;=$E$299),$E$299,IF(AND(G357&lt;$E$299,G357&gt;=$E$300),$E$300,IF(AND(G357&lt;$E$300,G357&gt;=$E$301),$E$301,$E$301)))))</f>
        <v>#VALUE!</v>
      </c>
      <c r="I357" s="353" t="e">
        <f>IF(H357=$E$297,$E$298,IF(H357=$E$298,$E$299,IF(H357=$E$299,$E$300,IF(H357=$E$300,$E$301))))</f>
        <v>#VALUE!</v>
      </c>
      <c r="J357" s="353" t="e">
        <f>IF(E357&lt;=$F$297,$F$297,IF(AND(E357&gt;$F$297,E357&lt;=$F$298),$F$298,IF(AND(E357&gt;$F$298,E357&lt;=$F$299),$F$299,IF(AND(E357&gt;$F$299,E357&lt;=$F$300),$F$300,IF(AND(E357&gt;$F$300,E357&lt;=$F$301),$F$301,$F$301)))))</f>
        <v>#VALUE!</v>
      </c>
      <c r="K357" s="353" t="e">
        <f>IF(J357=$F$297,$F$298,IF(J357=$F$298,$F$299,IF(J357=$F$299,$F$300,IF(J357=$F$300,$F$301,F302))))</f>
        <v>#VALUE!</v>
      </c>
      <c r="L357" s="36" t="e">
        <f>I357+(J357-E357)*((H357-I357)/(K357-J357))</f>
        <v>#VALUE!</v>
      </c>
      <c r="M357" s="36" t="e">
        <f>IF(AND(H357=I357,J357=K357),$E$301,L357)</f>
        <v>#VALUE!</v>
      </c>
    </row>
    <row r="358" spans="1:13" x14ac:dyDescent="0.25">
      <c r="A358" s="593"/>
      <c r="B358" s="393">
        <f>J35/12</f>
        <v>965.65603338191602</v>
      </c>
      <c r="C358" s="95">
        <f>IF(B358&lt;=100,0.83,IF(AND(B358&gt;100,B358&lt;=200),0.87,IF(AND(B358&gt;200,B358&lt;=400),0.9,IF(AND(B358&gt;400,B358&lt;=500),0.91,IF(AND(B358&gt;500,B358&lt;=600),0.91,IF(AND(B358&gt;600,B358&lt;=700),0.92,IF(AND(B358&gt;700,B358&lt;=800),0.92,IF(AND(B358&gt;800,B358&lt;=900),0.93,IF(AND(B358&gt;900,B358&lt;=1000),0.93,IF(AND(B358&gt;1000,B358&lt;=1100),0.93,IF(AND(B358&gt;1100,B358&lt;=1200),0.94,IF(AND(B358&gt;1200,B358&lt;=1300),0.94,IF(AND(B358&gt;1300,B358&lt;=1400),0.94,IF(AND(B358&gt;1400,B358&lt;=1500),0.94,IF(AND(B358&gt;1500,B358&lt;=1600),0.95,IF(AND(B358&gt;1600,B358&lt;=1700),0.95,IF(AND(B358&gt;1700,B358&lt;=1800),0.95,IF(AND(B358&gt;1800,B358&lt;=1900),0.95,IF(B358&gt;1900,0.96)))))))))))))))))))</f>
        <v>0.93</v>
      </c>
      <c r="D358" s="200">
        <f>B358/C358</f>
        <v>1038.3398208407698</v>
      </c>
      <c r="E358" s="203" t="e">
        <f>D358/($E$151*$E$150*$E$152*$E$156*$E$157)</f>
        <v>#VALUE!</v>
      </c>
      <c r="F358" s="435" t="e">
        <f>IF(E358&lt;=$F$297,$C$297,IF(AND(E358&gt;$F$297,E358&lt;=$F$298),$C$298,IF(AND(E358&gt;$F$298,E358&lt;=$F$299),$C$299,IF(AND(E358&gt;$F$299,E358&lt;=$F$300),$C$300,IF(AND(E358&gt;$F$300,E358&lt;=$F$301),$C$301,IF(E358&gt;$F$301,$C$302))))))</f>
        <v>#VALUE!</v>
      </c>
      <c r="G358" s="435" t="e">
        <f>IF(E358&lt;=$F$297,$E$297,IF(AND(E358&gt;$F$297,E358&lt;=$F$298),$E$298,IF(AND(E358&gt;$F$298,E358&lt;=$F$299),$E$299,IF(AND(E358&gt;$F$299,E358&lt;=$F$300),$E$300,IF(AND(E358&gt;$F$300,E358&lt;=$F$301),$E$301,IF(E358&gt;$F$301,$E$302))))))</f>
        <v>#VALUE!</v>
      </c>
      <c r="H358" s="353" t="e">
        <f>IF(G358&gt;=$E$297,$E$297,IF(AND(G358&lt;$E$297,G358&gt;=$E$298),$E$298,IF(AND(G358&lt;$E$298,G358&gt;=$E$299),$E$299,IF(AND(G358&lt;$E$299,G358&gt;=$E$300),$E$300,IF(AND(G358&lt;$E$300,G358&gt;=$E$301),$E$301,$E$301)))))</f>
        <v>#VALUE!</v>
      </c>
      <c r="I358" s="353" t="e">
        <f>IF(H358=$E$297,$E$298,IF(H358=$E$298,$E$299,IF(H358=$E$299,$E$300,IF(H358=$E$300,$E$301))))</f>
        <v>#VALUE!</v>
      </c>
      <c r="J358" s="353" t="e">
        <f>IF(E358&lt;=$F$297,$F$297,IF(AND(E358&gt;$F$297,E358&lt;=$F$298),$F$298,IF(AND(E358&gt;$F$298,E358&lt;=$F$299),$F$299,IF(AND(E358&gt;$F$299,E358&lt;=$F$300),$F$300,IF(AND(E358&gt;$F$300,E358&lt;=$F$301),$F$301,$F$301)))))</f>
        <v>#VALUE!</v>
      </c>
      <c r="K358" s="353" t="e">
        <f>IF(J358=$F$297,$F$298,IF(J358=$F$298,$F$299,IF(J358=$F$299,$F$300,IF(J358=$F$300,$F$301,F303))))</f>
        <v>#VALUE!</v>
      </c>
      <c r="L358" s="36" t="e">
        <f>I358+(J358-E358)*((H358-I358)/(K358-J358))</f>
        <v>#VALUE!</v>
      </c>
      <c r="M358" s="36" t="e">
        <f>IF(AND(H358=I358,J358=K358),$E$301,L358)</f>
        <v>#VALUE!</v>
      </c>
    </row>
    <row r="359" spans="1:13" x14ac:dyDescent="0.25">
      <c r="A359" s="593"/>
      <c r="B359" s="36"/>
      <c r="C359" s="47"/>
      <c r="D359" s="394"/>
      <c r="F359" s="353"/>
      <c r="G359" s="353"/>
      <c r="H359" s="353"/>
      <c r="I359" s="47"/>
      <c r="J359" s="47"/>
      <c r="M359" s="36"/>
    </row>
    <row r="360" spans="1:13" x14ac:dyDescent="0.25">
      <c r="A360" s="593"/>
      <c r="B360" s="164" t="s">
        <v>107</v>
      </c>
      <c r="C360" s="164" t="s">
        <v>143</v>
      </c>
      <c r="D360" s="125" t="s">
        <v>380</v>
      </c>
      <c r="E360" s="164" t="s">
        <v>409</v>
      </c>
      <c r="F360" s="125" t="s">
        <v>19</v>
      </c>
      <c r="G360" s="164" t="s">
        <v>331</v>
      </c>
      <c r="H360" s="66" t="s">
        <v>486</v>
      </c>
      <c r="I360" s="66" t="s">
        <v>487</v>
      </c>
      <c r="J360" s="47"/>
      <c r="M360" s="36"/>
    </row>
    <row r="361" spans="1:13" x14ac:dyDescent="0.25">
      <c r="A361" s="593"/>
      <c r="B361" s="200">
        <f>J40/12</f>
        <v>375</v>
      </c>
      <c r="C361" s="95">
        <f t="shared" ref="C361:C390" si="44">IF(B361&lt;=100,$B$125,IF(AND(B361&gt;100,B361&lt;=200),$B$126,IF(AND(B361&gt;200,B361&lt;=400),$B$127,IF(AND(B361&gt;400,B361&lt;=500),$B$128,IF(AND(B361&gt;500,B361&lt;=600),$B$129,IF(AND(B361&gt;600,B361&lt;=700),$B$130,IF(AND(B361&gt;700,B361&lt;=800),$B$131,IF(AND(B361&gt;800,B361&lt;=900),$B$132,IF(AND(B361&gt;900,B361&lt;=1000),$B$133,IF(AND(B361&gt;1000,B361&lt;=1100),$B$134,IF(AND(B361&gt;1100,B361&lt;=1200),$B$135,IF(AND(B361&gt;1200,B361&lt;=1300),$B$136,IF(AND(B361&gt;1300,B361&lt;=1400),$B$137,IF(AND(B361&gt;1400,B361&lt;=1500),$B$138,IF(AND(B361&gt;1500,B361&lt;=1600),$B$139,IF(AND(B361&gt;1600,B361&lt;=1700),$B$140,IF(AND(B361&gt;1700,B361&lt;=1800),$B$141,IF(AND(B361&gt;1800,B361&lt;=1900),$B$142,IF(B361&gt;1900,$B$143)))))))))))))))))))</f>
        <v>0.9</v>
      </c>
      <c r="D361" s="69">
        <f>B361/C361</f>
        <v>416.66666666666663</v>
      </c>
      <c r="E361" s="203">
        <f>D361/($F$151*$F$150*$F$152*$F$156*$F$157)</f>
        <v>0.10672293106503632</v>
      </c>
      <c r="F361" s="437" t="str">
        <f>IF(E361&lt;=$F$307,$C$297,IF(AND(E361&gt;$F$307,E361&lt;=$F$308),$C$298,IF(AND(E361&gt;$F$308,E361&lt;=$F$309),$C$299,IF(AND(E361&gt;$F$309,E361&lt;=$F$310),$C$300,IF(AND(E361&gt;$F$310,E361&lt;=$F$311),$C$301,IF(E361&gt;$F$311,$C$302))))))</f>
        <v>A</v>
      </c>
      <c r="G361" s="437">
        <f>IF(E361&lt;=$F$297,$E$307,IF(AND(E361&gt;$F$297,E361&lt;=$F$298),$E$308,IF(AND(E361&gt;$F$298,E361&lt;=$F$299),$E$309,IF(AND(E361&gt;$F$299,E361&lt;=$F$300),$E$310,IF(AND(E361&gt;$F$300,E361&lt;=$F$301),$E$311,IF(E361&gt;$F$301,$E$312))))))</f>
        <v>95</v>
      </c>
      <c r="H361" s="353">
        <f>IF(G361&gt;=$E$307,$E$307,IF(AND(G361&lt;$E$307,G361&gt;=$E$308),$E$308,IF(AND(G361&lt;$E$308,G361&gt;=$E$309),$E$309,IF(AND(G361&lt;$E$309,G361&gt;=$E$310),$E$310,IF(AND(G361&lt;$E$310,G361&gt;=$E$311),$E$311,$E$311)))))</f>
        <v>95</v>
      </c>
      <c r="I361" s="353">
        <f>IF(H361=$E$307,$E$308,IF(H361=$E$308,$E$309,IF(H361=$E$309,$E$310,IF(H361=$E$310,$E$311))))</f>
        <v>79</v>
      </c>
      <c r="J361" s="353">
        <f>IF(E361&lt;=$F$307,$F$307,IF(AND(E361&gt;$F$307,E361&lt;=$F$308),$F$308,IF(AND(E361&gt;$F$308,E361&lt;=$F$309),$F$309,IF(AND(E361&gt;$F$309,E361&lt;=$F$310),$F$310,IF(AND(E361&gt;$F$310,E361&lt;=$F$311),$F$311,$F$311)))))</f>
        <v>0.36</v>
      </c>
      <c r="K361" s="353">
        <f t="shared" ref="K361:K390" si="45">IF(J361=$F$307,$F$308,IF(J361=$F$308,$F$309,IF(J361=$F$309,$F$310,IF(J361=$F$310,$F$311,$F$311))))</f>
        <v>0.52</v>
      </c>
      <c r="L361" s="36">
        <f>I361+(J361-E361)*((H361-I361)/(K361-J361))</f>
        <v>104.32770689349636</v>
      </c>
      <c r="M361" s="36">
        <f>IF(AND(H361=I361,J361=K361),$E$311,L361)</f>
        <v>104.32770689349636</v>
      </c>
    </row>
    <row r="362" spans="1:13" x14ac:dyDescent="0.25">
      <c r="A362" s="593"/>
      <c r="B362" s="200">
        <f t="shared" ref="B362:B390" si="46">J41/12</f>
        <v>386.25</v>
      </c>
      <c r="C362" s="95">
        <f t="shared" si="44"/>
        <v>0.9</v>
      </c>
      <c r="D362" s="69">
        <f t="shared" si="35"/>
        <v>429.16666666666663</v>
      </c>
      <c r="E362" s="203">
        <f t="shared" ref="E362:E391" si="47">D362/($F$151*$F$150*$F$152*$F$156*$F$157)</f>
        <v>0.10992461899698741</v>
      </c>
      <c r="F362" s="435" t="str">
        <f t="shared" ref="F362:F391" si="48">IF(E362&lt;=$F$307,$C$297,IF(AND(E362&gt;$F$307,E362&lt;=$F$308),$C$298,IF(AND(E362&gt;$F$308,E362&lt;=$F$309),$C$299,IF(AND(E362&gt;$F$309,E362&lt;=$F$310),$C$300,IF(AND(E362&gt;$F$310,E362&lt;=$F$311),$C$301,IF(E362&gt;$F$311,$C$302))))))</f>
        <v>A</v>
      </c>
      <c r="G362" s="437">
        <f t="shared" ref="G362:G391" si="49">IF(E362&lt;=$F$297,$E$307,IF(AND(E362&gt;$F$297,E362&lt;=$F$298),$E$308,IF(AND(E362&gt;$F$298,E362&lt;=$F$299),$E$309,IF(AND(E362&gt;$F$299,E362&lt;=$F$300),$E$310,IF(AND(E362&gt;$F$300,E362&lt;=$F$301),$E$311,IF(E362&gt;$F$301,$E$312))))))</f>
        <v>95</v>
      </c>
      <c r="H362" s="353">
        <f t="shared" ref="H362:H391" si="50">IF(G362&gt;=$E$307,$E$307,IF(AND(G362&lt;$E$307,G362&gt;=$E$308),$E$308,IF(AND(G362&lt;$E$308,G362&gt;=$E$309),$E$309,IF(AND(G362&lt;$E$309,G362&gt;=$E$310),$E$310,IF(AND(G362&lt;$E$310,G362&gt;=$E$311),$E$311,$E$311)))))</f>
        <v>95</v>
      </c>
      <c r="I362" s="353">
        <f t="shared" ref="I362:I391" si="51">IF(H362=$E$307,$E$308,IF(H362=$E$308,$E$309,IF(H362=$E$309,$E$310,IF(H362=$E$310,$E$311))))</f>
        <v>79</v>
      </c>
      <c r="J362" s="353">
        <f t="shared" ref="J362:J391" si="52">IF(E362&lt;=$F$307,$F$307,IF(AND(E362&gt;$F$307,E362&lt;=$F$308),$F$308,IF(AND(E362&gt;$F$308,E362&lt;=$F$309),$F$309,IF(AND(E362&gt;$F$309,E362&lt;=$F$310),$F$310,IF(AND(E362&gt;$F$310,E362&lt;=$F$311),$F$311,$F$311)))))</f>
        <v>0.36</v>
      </c>
      <c r="K362" s="353">
        <f t="shared" si="45"/>
        <v>0.52</v>
      </c>
      <c r="L362" s="36">
        <f t="shared" ref="L362:L391" si="53">I362+(J362-E362)*((H362-I362)/(K362-J362))</f>
        <v>104.00753810030125</v>
      </c>
      <c r="M362" s="36">
        <f t="shared" ref="M362:M391" si="54">IF(AND(H362=I362,J362=K362),$E$311,L362)</f>
        <v>104.00753810030125</v>
      </c>
    </row>
    <row r="363" spans="1:13" x14ac:dyDescent="0.25">
      <c r="A363" s="593"/>
      <c r="B363" s="200">
        <f t="shared" si="46"/>
        <v>397.83749999999986</v>
      </c>
      <c r="C363" s="95">
        <f t="shared" si="44"/>
        <v>0.9</v>
      </c>
      <c r="D363" s="69">
        <f t="shared" si="35"/>
        <v>442.04166666666652</v>
      </c>
      <c r="E363" s="203">
        <f t="shared" si="47"/>
        <v>0.11322235756689701</v>
      </c>
      <c r="F363" s="435" t="str">
        <f t="shared" si="48"/>
        <v>A</v>
      </c>
      <c r="G363" s="437">
        <f t="shared" si="49"/>
        <v>95</v>
      </c>
      <c r="H363" s="353">
        <f t="shared" si="50"/>
        <v>95</v>
      </c>
      <c r="I363" s="353">
        <f t="shared" si="51"/>
        <v>79</v>
      </c>
      <c r="J363" s="353">
        <f t="shared" si="52"/>
        <v>0.36</v>
      </c>
      <c r="K363" s="353">
        <f t="shared" si="45"/>
        <v>0.52</v>
      </c>
      <c r="L363" s="36">
        <f t="shared" si="53"/>
        <v>103.67776424331029</v>
      </c>
      <c r="M363" s="36">
        <f t="shared" si="54"/>
        <v>103.67776424331029</v>
      </c>
    </row>
    <row r="364" spans="1:13" x14ac:dyDescent="0.25">
      <c r="A364" s="593"/>
      <c r="B364" s="200">
        <f t="shared" si="46"/>
        <v>409.77262500000001</v>
      </c>
      <c r="C364" s="95">
        <f t="shared" si="44"/>
        <v>0.91</v>
      </c>
      <c r="D364" s="69">
        <f t="shared" si="35"/>
        <v>450.29958791208793</v>
      </c>
      <c r="E364" s="203">
        <f t="shared" si="47"/>
        <v>0.11533750051045447</v>
      </c>
      <c r="F364" s="435" t="str">
        <f>IF(E364&lt;=$F$307,$C$297,IF(AND(E364&gt;$F$307,E364&lt;=$F$308),$C$298,IF(AND(E364&gt;$F$308,E364&lt;=$F$309),$C$299,IF(AND(E364&gt;$F$309,E364&lt;=$F$310),$C$300,IF(AND(E364&gt;$F$310,E364&lt;=$F$311),$C$301,IF(E364&gt;$F$311,$C$302))))))</f>
        <v>A</v>
      </c>
      <c r="G364" s="437">
        <f t="shared" si="49"/>
        <v>95</v>
      </c>
      <c r="H364" s="353">
        <f t="shared" si="50"/>
        <v>95</v>
      </c>
      <c r="I364" s="353">
        <f t="shared" si="51"/>
        <v>79</v>
      </c>
      <c r="J364" s="353">
        <f t="shared" si="52"/>
        <v>0.36</v>
      </c>
      <c r="K364" s="353">
        <f t="shared" si="45"/>
        <v>0.52</v>
      </c>
      <c r="L364" s="36">
        <f t="shared" si="53"/>
        <v>103.46624994895456</v>
      </c>
      <c r="M364" s="36">
        <f t="shared" si="54"/>
        <v>103.46624994895456</v>
      </c>
    </row>
    <row r="365" spans="1:13" x14ac:dyDescent="0.25">
      <c r="A365" s="47"/>
      <c r="B365" s="200">
        <f t="shared" si="46"/>
        <v>422.06580375000004</v>
      </c>
      <c r="C365" s="95">
        <f t="shared" si="44"/>
        <v>0.91</v>
      </c>
      <c r="D365" s="69">
        <f t="shared" si="35"/>
        <v>463.80857554945061</v>
      </c>
      <c r="E365" s="203">
        <f t="shared" si="47"/>
        <v>0.11879762552576811</v>
      </c>
      <c r="F365" s="435" t="str">
        <f t="shared" si="48"/>
        <v>A</v>
      </c>
      <c r="G365" s="437">
        <f t="shared" si="49"/>
        <v>95</v>
      </c>
      <c r="H365" s="353">
        <f t="shared" si="50"/>
        <v>95</v>
      </c>
      <c r="I365" s="353">
        <f t="shared" si="51"/>
        <v>79</v>
      </c>
      <c r="J365" s="353">
        <f t="shared" si="52"/>
        <v>0.36</v>
      </c>
      <c r="K365" s="353">
        <f t="shared" si="45"/>
        <v>0.52</v>
      </c>
      <c r="L365" s="36">
        <f t="shared" si="53"/>
        <v>103.12023744742318</v>
      </c>
      <c r="M365" s="36">
        <f t="shared" si="54"/>
        <v>103.12023744742318</v>
      </c>
    </row>
    <row r="366" spans="1:13" x14ac:dyDescent="0.25">
      <c r="A366" s="47"/>
      <c r="B366" s="200">
        <f t="shared" si="46"/>
        <v>434.72777786249998</v>
      </c>
      <c r="C366" s="95">
        <f t="shared" si="44"/>
        <v>0.91</v>
      </c>
      <c r="D366" s="69">
        <f t="shared" si="35"/>
        <v>477.722832815934</v>
      </c>
      <c r="E366" s="203">
        <f t="shared" si="47"/>
        <v>0.12236155429154112</v>
      </c>
      <c r="F366" s="435" t="str">
        <f t="shared" si="48"/>
        <v>A</v>
      </c>
      <c r="G366" s="437">
        <f t="shared" si="49"/>
        <v>95</v>
      </c>
      <c r="H366" s="353">
        <f t="shared" si="50"/>
        <v>95</v>
      </c>
      <c r="I366" s="353">
        <f t="shared" si="51"/>
        <v>79</v>
      </c>
      <c r="J366" s="353">
        <f t="shared" si="52"/>
        <v>0.36</v>
      </c>
      <c r="K366" s="353">
        <f t="shared" si="45"/>
        <v>0.52</v>
      </c>
      <c r="L366" s="36">
        <f t="shared" si="53"/>
        <v>102.76384457084589</v>
      </c>
      <c r="M366" s="36">
        <f t="shared" si="54"/>
        <v>102.76384457084589</v>
      </c>
    </row>
    <row r="367" spans="1:13" x14ac:dyDescent="0.25">
      <c r="A367" s="47"/>
      <c r="B367" s="200">
        <f t="shared" si="46"/>
        <v>447.76961119837489</v>
      </c>
      <c r="C367" s="95">
        <f t="shared" si="44"/>
        <v>0.91</v>
      </c>
      <c r="D367" s="69">
        <f t="shared" si="35"/>
        <v>492.05451780041193</v>
      </c>
      <c r="E367" s="203">
        <f t="shared" si="47"/>
        <v>0.12603240092028734</v>
      </c>
      <c r="F367" s="435" t="str">
        <f t="shared" si="48"/>
        <v>A</v>
      </c>
      <c r="G367" s="437">
        <f t="shared" si="49"/>
        <v>95</v>
      </c>
      <c r="H367" s="353">
        <f t="shared" si="50"/>
        <v>95</v>
      </c>
      <c r="I367" s="353">
        <f t="shared" si="51"/>
        <v>79</v>
      </c>
      <c r="J367" s="353">
        <f t="shared" si="52"/>
        <v>0.36</v>
      </c>
      <c r="K367" s="353">
        <f t="shared" si="45"/>
        <v>0.52</v>
      </c>
      <c r="L367" s="36">
        <f t="shared" si="53"/>
        <v>102.39675990797126</v>
      </c>
      <c r="M367" s="36">
        <f t="shared" si="54"/>
        <v>102.39675990797126</v>
      </c>
    </row>
    <row r="368" spans="1:13" x14ac:dyDescent="0.25">
      <c r="A368" s="47"/>
      <c r="B368" s="200">
        <f t="shared" si="46"/>
        <v>461.20269953432626</v>
      </c>
      <c r="C368" s="95">
        <f t="shared" si="44"/>
        <v>0.91</v>
      </c>
      <c r="D368" s="69">
        <f t="shared" si="35"/>
        <v>506.81615333442443</v>
      </c>
      <c r="E368" s="203">
        <f t="shared" si="47"/>
        <v>0.12981337294789599</v>
      </c>
      <c r="F368" s="435" t="str">
        <f t="shared" si="48"/>
        <v>A</v>
      </c>
      <c r="G368" s="437">
        <f t="shared" si="49"/>
        <v>95</v>
      </c>
      <c r="H368" s="353">
        <f t="shared" si="50"/>
        <v>95</v>
      </c>
      <c r="I368" s="353">
        <f t="shared" si="51"/>
        <v>79</v>
      </c>
      <c r="J368" s="353">
        <f t="shared" si="52"/>
        <v>0.36</v>
      </c>
      <c r="K368" s="353">
        <f t="shared" si="45"/>
        <v>0.52</v>
      </c>
      <c r="L368" s="36">
        <f t="shared" si="53"/>
        <v>102.0186627052104</v>
      </c>
      <c r="M368" s="36">
        <f t="shared" si="54"/>
        <v>102.0186627052104</v>
      </c>
    </row>
    <row r="369" spans="1:13" x14ac:dyDescent="0.25">
      <c r="A369" s="47"/>
      <c r="B369" s="200">
        <f t="shared" si="46"/>
        <v>475.03878052035606</v>
      </c>
      <c r="C369" s="95">
        <f t="shared" si="44"/>
        <v>0.91</v>
      </c>
      <c r="D369" s="69">
        <f t="shared" si="35"/>
        <v>522.02063793445723</v>
      </c>
      <c r="E369" s="203">
        <f t="shared" si="47"/>
        <v>0.13370777413633289</v>
      </c>
      <c r="F369" s="435" t="str">
        <f t="shared" si="48"/>
        <v>A</v>
      </c>
      <c r="G369" s="437">
        <f t="shared" si="49"/>
        <v>95</v>
      </c>
      <c r="H369" s="353">
        <f t="shared" si="50"/>
        <v>95</v>
      </c>
      <c r="I369" s="353">
        <f t="shared" si="51"/>
        <v>79</v>
      </c>
      <c r="J369" s="353">
        <f t="shared" si="52"/>
        <v>0.36</v>
      </c>
      <c r="K369" s="353">
        <f t="shared" si="45"/>
        <v>0.52</v>
      </c>
      <c r="L369" s="36">
        <f t="shared" si="53"/>
        <v>101.62922258636671</v>
      </c>
      <c r="M369" s="36">
        <f t="shared" si="54"/>
        <v>101.62922258636671</v>
      </c>
    </row>
    <row r="370" spans="1:13" x14ac:dyDescent="0.25">
      <c r="A370" s="47"/>
      <c r="B370" s="200">
        <f t="shared" si="46"/>
        <v>489.28994393596668</v>
      </c>
      <c r="C370" s="95">
        <f t="shared" si="44"/>
        <v>0.91</v>
      </c>
      <c r="D370" s="69">
        <f t="shared" si="35"/>
        <v>537.68125707249078</v>
      </c>
      <c r="E370" s="203">
        <f t="shared" si="47"/>
        <v>0.13771900736042283</v>
      </c>
      <c r="F370" s="435" t="str">
        <f t="shared" si="48"/>
        <v>A</v>
      </c>
      <c r="G370" s="437">
        <f t="shared" si="49"/>
        <v>95</v>
      </c>
      <c r="H370" s="353">
        <f t="shared" si="50"/>
        <v>95</v>
      </c>
      <c r="I370" s="353">
        <f t="shared" si="51"/>
        <v>79</v>
      </c>
      <c r="J370" s="353">
        <f t="shared" si="52"/>
        <v>0.36</v>
      </c>
      <c r="K370" s="353">
        <f t="shared" si="45"/>
        <v>0.52</v>
      </c>
      <c r="L370" s="36">
        <f t="shared" si="53"/>
        <v>101.22809926395772</v>
      </c>
      <c r="M370" s="36">
        <f t="shared" si="54"/>
        <v>101.22809926395772</v>
      </c>
    </row>
    <row r="371" spans="1:13" x14ac:dyDescent="0.25">
      <c r="A371" s="47"/>
      <c r="B371" s="200">
        <f t="shared" si="46"/>
        <v>503.96864225404573</v>
      </c>
      <c r="C371" s="95">
        <f t="shared" si="44"/>
        <v>0.91</v>
      </c>
      <c r="D371" s="69">
        <f t="shared" si="35"/>
        <v>553.81169478466563</v>
      </c>
      <c r="E371" s="203">
        <f t="shared" si="47"/>
        <v>0.14185057758123554</v>
      </c>
      <c r="F371" s="435" t="str">
        <f t="shared" si="48"/>
        <v>A</v>
      </c>
      <c r="G371" s="437">
        <f t="shared" si="49"/>
        <v>95</v>
      </c>
      <c r="H371" s="353">
        <f t="shared" si="50"/>
        <v>95</v>
      </c>
      <c r="I371" s="353">
        <f t="shared" si="51"/>
        <v>79</v>
      </c>
      <c r="J371" s="353">
        <f t="shared" si="52"/>
        <v>0.36</v>
      </c>
      <c r="K371" s="353">
        <f t="shared" si="45"/>
        <v>0.52</v>
      </c>
      <c r="L371" s="36">
        <f t="shared" si="53"/>
        <v>100.81494224187644</v>
      </c>
      <c r="M371" s="36">
        <f t="shared" si="54"/>
        <v>100.81494224187644</v>
      </c>
    </row>
    <row r="372" spans="1:13" x14ac:dyDescent="0.25">
      <c r="A372" s="47"/>
      <c r="B372" s="200">
        <f t="shared" si="46"/>
        <v>519.0877015216671</v>
      </c>
      <c r="C372" s="95">
        <f t="shared" si="44"/>
        <v>0.91</v>
      </c>
      <c r="D372" s="69">
        <f t="shared" si="35"/>
        <v>570.42604562820554</v>
      </c>
      <c r="E372" s="203">
        <f t="shared" si="47"/>
        <v>0.1461060949086726</v>
      </c>
      <c r="F372" s="435" t="str">
        <f t="shared" si="48"/>
        <v>A</v>
      </c>
      <c r="G372" s="437">
        <f t="shared" si="49"/>
        <v>95</v>
      </c>
      <c r="H372" s="353">
        <f t="shared" si="50"/>
        <v>95</v>
      </c>
      <c r="I372" s="353">
        <f t="shared" si="51"/>
        <v>79</v>
      </c>
      <c r="J372" s="353">
        <f t="shared" si="52"/>
        <v>0.36</v>
      </c>
      <c r="K372" s="353">
        <f t="shared" si="45"/>
        <v>0.52</v>
      </c>
      <c r="L372" s="36">
        <f t="shared" si="53"/>
        <v>100.38939050913274</v>
      </c>
      <c r="M372" s="36">
        <f t="shared" si="54"/>
        <v>100.38939050913274</v>
      </c>
    </row>
    <row r="373" spans="1:13" x14ac:dyDescent="0.25">
      <c r="A373" s="47"/>
      <c r="B373" s="200">
        <f t="shared" si="46"/>
        <v>534.66033256731714</v>
      </c>
      <c r="C373" s="95">
        <f t="shared" si="44"/>
        <v>0.91</v>
      </c>
      <c r="D373" s="69">
        <f t="shared" si="35"/>
        <v>587.53882699705173</v>
      </c>
      <c r="E373" s="203">
        <f t="shared" si="47"/>
        <v>0.15048927775593279</v>
      </c>
      <c r="F373" s="435" t="str">
        <f t="shared" si="48"/>
        <v>A</v>
      </c>
      <c r="G373" s="437">
        <f t="shared" si="49"/>
        <v>95</v>
      </c>
      <c r="H373" s="353">
        <f t="shared" si="50"/>
        <v>95</v>
      </c>
      <c r="I373" s="353">
        <f t="shared" si="51"/>
        <v>79</v>
      </c>
      <c r="J373" s="353">
        <f t="shared" si="52"/>
        <v>0.36</v>
      </c>
      <c r="K373" s="353">
        <f t="shared" si="45"/>
        <v>0.52</v>
      </c>
      <c r="L373" s="36">
        <f t="shared" si="53"/>
        <v>99.951072224406715</v>
      </c>
      <c r="M373" s="36">
        <f t="shared" si="54"/>
        <v>99.951072224406715</v>
      </c>
    </row>
    <row r="374" spans="1:13" x14ac:dyDescent="0.25">
      <c r="A374" s="47"/>
      <c r="B374" s="200">
        <f t="shared" si="46"/>
        <v>550.70014254433647</v>
      </c>
      <c r="C374" s="95">
        <f t="shared" si="44"/>
        <v>0.91</v>
      </c>
      <c r="D374" s="69">
        <f t="shared" si="35"/>
        <v>605.16499180696314</v>
      </c>
      <c r="E374" s="203">
        <f t="shared" si="47"/>
        <v>0.15500395608861073</v>
      </c>
      <c r="F374" s="435" t="str">
        <f t="shared" si="48"/>
        <v>A</v>
      </c>
      <c r="G374" s="437">
        <f t="shared" si="49"/>
        <v>95</v>
      </c>
      <c r="H374" s="353">
        <f t="shared" si="50"/>
        <v>95</v>
      </c>
      <c r="I374" s="353">
        <f t="shared" si="51"/>
        <v>79</v>
      </c>
      <c r="J374" s="353">
        <f t="shared" si="52"/>
        <v>0.36</v>
      </c>
      <c r="K374" s="353">
        <f t="shared" si="45"/>
        <v>0.52</v>
      </c>
      <c r="L374" s="36">
        <f t="shared" si="53"/>
        <v>99.499604391138917</v>
      </c>
      <c r="M374" s="36">
        <f t="shared" si="54"/>
        <v>99.499604391138917</v>
      </c>
    </row>
    <row r="375" spans="1:13" x14ac:dyDescent="0.25">
      <c r="A375" s="47"/>
      <c r="B375" s="200">
        <f t="shared" si="46"/>
        <v>567.2211468206666</v>
      </c>
      <c r="C375" s="95">
        <f t="shared" si="44"/>
        <v>0.91</v>
      </c>
      <c r="D375" s="69">
        <f t="shared" si="35"/>
        <v>623.31994156117207</v>
      </c>
      <c r="E375" s="203">
        <f t="shared" si="47"/>
        <v>0.15965407477126906</v>
      </c>
      <c r="F375" s="435" t="str">
        <f t="shared" si="48"/>
        <v>A</v>
      </c>
      <c r="G375" s="437">
        <f t="shared" si="49"/>
        <v>95</v>
      </c>
      <c r="H375" s="353">
        <f t="shared" si="50"/>
        <v>95</v>
      </c>
      <c r="I375" s="353">
        <f t="shared" si="51"/>
        <v>79</v>
      </c>
      <c r="J375" s="353">
        <f t="shared" si="52"/>
        <v>0.36</v>
      </c>
      <c r="K375" s="353">
        <f t="shared" si="45"/>
        <v>0.52</v>
      </c>
      <c r="L375" s="36">
        <f t="shared" si="53"/>
        <v>99.034592522873083</v>
      </c>
      <c r="M375" s="36">
        <f t="shared" si="54"/>
        <v>99.034592522873083</v>
      </c>
    </row>
    <row r="376" spans="1:13" x14ac:dyDescent="0.25">
      <c r="A376" s="47"/>
      <c r="B376" s="200">
        <f t="shared" si="46"/>
        <v>584.23778122528665</v>
      </c>
      <c r="C376" s="95">
        <f t="shared" si="44"/>
        <v>0.91</v>
      </c>
      <c r="D376" s="69">
        <f t="shared" si="35"/>
        <v>642.01953980800727</v>
      </c>
      <c r="E376" s="203">
        <f t="shared" si="47"/>
        <v>0.16444369701440714</v>
      </c>
      <c r="F376" s="435" t="str">
        <f t="shared" si="48"/>
        <v>A</v>
      </c>
      <c r="G376" s="435">
        <f t="shared" si="49"/>
        <v>95</v>
      </c>
      <c r="H376" s="353">
        <f t="shared" si="50"/>
        <v>95</v>
      </c>
      <c r="I376" s="353">
        <f t="shared" si="51"/>
        <v>79</v>
      </c>
      <c r="J376" s="353">
        <f t="shared" si="52"/>
        <v>0.36</v>
      </c>
      <c r="K376" s="353">
        <f t="shared" si="45"/>
        <v>0.52</v>
      </c>
      <c r="L376" s="36">
        <f t="shared" si="53"/>
        <v>98.555630298559279</v>
      </c>
      <c r="M376" s="36">
        <f t="shared" si="54"/>
        <v>98.555630298559279</v>
      </c>
    </row>
    <row r="377" spans="1:13" x14ac:dyDescent="0.25">
      <c r="A377" s="47"/>
      <c r="B377" s="200">
        <f t="shared" si="46"/>
        <v>601.76491466204516</v>
      </c>
      <c r="C377" s="95">
        <f t="shared" si="44"/>
        <v>0.92</v>
      </c>
      <c r="D377" s="69">
        <f t="shared" si="35"/>
        <v>654.09229854570128</v>
      </c>
      <c r="E377" s="203">
        <f t="shared" si="47"/>
        <v>0.16753595349087369</v>
      </c>
      <c r="F377" s="435" t="str">
        <f t="shared" si="48"/>
        <v>A</v>
      </c>
      <c r="G377" s="435">
        <f t="shared" si="49"/>
        <v>95</v>
      </c>
      <c r="H377" s="353">
        <f t="shared" si="50"/>
        <v>95</v>
      </c>
      <c r="I377" s="353">
        <f t="shared" si="51"/>
        <v>79</v>
      </c>
      <c r="J377" s="353">
        <f t="shared" si="52"/>
        <v>0.36</v>
      </c>
      <c r="K377" s="353">
        <f t="shared" si="45"/>
        <v>0.52</v>
      </c>
      <c r="L377" s="36">
        <f t="shared" si="53"/>
        <v>98.246404650912623</v>
      </c>
      <c r="M377" s="36">
        <f t="shared" si="54"/>
        <v>98.246404650912623</v>
      </c>
    </row>
    <row r="378" spans="1:13" x14ac:dyDescent="0.25">
      <c r="A378" s="47"/>
      <c r="B378" s="200">
        <f t="shared" si="46"/>
        <v>619.8178621019066</v>
      </c>
      <c r="C378" s="95">
        <f t="shared" si="44"/>
        <v>0.92</v>
      </c>
      <c r="D378" s="69">
        <f t="shared" si="35"/>
        <v>673.71506750207232</v>
      </c>
      <c r="E378" s="203">
        <f t="shared" si="47"/>
        <v>0.17256203209559992</v>
      </c>
      <c r="F378" s="435" t="str">
        <f t="shared" si="48"/>
        <v>A</v>
      </c>
      <c r="G378" s="435">
        <f t="shared" si="49"/>
        <v>95</v>
      </c>
      <c r="H378" s="353">
        <f t="shared" si="50"/>
        <v>95</v>
      </c>
      <c r="I378" s="353">
        <f t="shared" si="51"/>
        <v>79</v>
      </c>
      <c r="J378" s="353">
        <f t="shared" si="52"/>
        <v>0.36</v>
      </c>
      <c r="K378" s="353">
        <f t="shared" si="45"/>
        <v>0.52</v>
      </c>
      <c r="L378" s="36">
        <f t="shared" si="53"/>
        <v>97.743796790440001</v>
      </c>
      <c r="M378" s="36">
        <f t="shared" si="54"/>
        <v>97.743796790440001</v>
      </c>
    </row>
    <row r="379" spans="1:13" x14ac:dyDescent="0.25">
      <c r="A379" s="47"/>
      <c r="B379" s="200">
        <f t="shared" si="46"/>
        <v>638.4123979649637</v>
      </c>
      <c r="C379" s="95">
        <f t="shared" si="44"/>
        <v>0.92</v>
      </c>
      <c r="D379" s="69">
        <f t="shared" si="35"/>
        <v>693.92651952713447</v>
      </c>
      <c r="E379" s="203">
        <f t="shared" si="47"/>
        <v>0.17773889305846791</v>
      </c>
      <c r="F379" s="435" t="str">
        <f t="shared" si="48"/>
        <v>A</v>
      </c>
      <c r="G379" s="435">
        <f t="shared" si="49"/>
        <v>95</v>
      </c>
      <c r="H379" s="353">
        <f t="shared" si="50"/>
        <v>95</v>
      </c>
      <c r="I379" s="353">
        <f t="shared" si="51"/>
        <v>79</v>
      </c>
      <c r="J379" s="353">
        <f t="shared" si="52"/>
        <v>0.36</v>
      </c>
      <c r="K379" s="353">
        <f t="shared" si="45"/>
        <v>0.52</v>
      </c>
      <c r="L379" s="36">
        <f t="shared" si="53"/>
        <v>97.226110694153206</v>
      </c>
      <c r="M379" s="36">
        <f t="shared" si="54"/>
        <v>97.226110694153206</v>
      </c>
    </row>
    <row r="380" spans="1:13" x14ac:dyDescent="0.25">
      <c r="A380" s="47"/>
      <c r="B380" s="200">
        <f t="shared" si="46"/>
        <v>657.56476990391263</v>
      </c>
      <c r="C380" s="95">
        <f t="shared" si="44"/>
        <v>0.92</v>
      </c>
      <c r="D380" s="69">
        <f t="shared" si="35"/>
        <v>714.74431511294847</v>
      </c>
      <c r="E380" s="203">
        <f t="shared" si="47"/>
        <v>0.18307105985022193</v>
      </c>
      <c r="F380" s="435" t="str">
        <f t="shared" si="48"/>
        <v>A</v>
      </c>
      <c r="G380" s="435">
        <f t="shared" si="49"/>
        <v>95</v>
      </c>
      <c r="H380" s="353">
        <f t="shared" si="50"/>
        <v>95</v>
      </c>
      <c r="I380" s="353">
        <f t="shared" si="51"/>
        <v>79</v>
      </c>
      <c r="J380" s="353">
        <f t="shared" si="52"/>
        <v>0.36</v>
      </c>
      <c r="K380" s="353">
        <f t="shared" si="45"/>
        <v>0.52</v>
      </c>
      <c r="L380" s="36">
        <f t="shared" si="53"/>
        <v>96.69289401497781</v>
      </c>
      <c r="M380" s="36">
        <f t="shared" si="54"/>
        <v>96.69289401497781</v>
      </c>
    </row>
    <row r="381" spans="1:13" x14ac:dyDescent="0.25">
      <c r="A381" s="47"/>
      <c r="B381" s="200">
        <f t="shared" si="46"/>
        <v>677.29171300103008</v>
      </c>
      <c r="C381" s="95">
        <f t="shared" si="44"/>
        <v>0.92</v>
      </c>
      <c r="D381" s="69">
        <f t="shared" si="35"/>
        <v>736.18664456633701</v>
      </c>
      <c r="E381" s="203">
        <f t="shared" si="47"/>
        <v>0.18856319164572863</v>
      </c>
      <c r="F381" s="435" t="str">
        <f t="shared" si="48"/>
        <v>A</v>
      </c>
      <c r="G381" s="435">
        <f t="shared" si="49"/>
        <v>95</v>
      </c>
      <c r="H381" s="353">
        <f t="shared" si="50"/>
        <v>95</v>
      </c>
      <c r="I381" s="353">
        <f t="shared" si="51"/>
        <v>79</v>
      </c>
      <c r="J381" s="353">
        <f t="shared" si="52"/>
        <v>0.36</v>
      </c>
      <c r="K381" s="353">
        <f t="shared" si="45"/>
        <v>0.52</v>
      </c>
      <c r="L381" s="36">
        <f t="shared" si="53"/>
        <v>96.143680835427134</v>
      </c>
      <c r="M381" s="36">
        <f t="shared" si="54"/>
        <v>96.143680835427134</v>
      </c>
    </row>
    <row r="382" spans="1:13" x14ac:dyDescent="0.25">
      <c r="B382" s="200">
        <f t="shared" si="46"/>
        <v>697.61046439106076</v>
      </c>
      <c r="C382" s="95">
        <f t="shared" si="44"/>
        <v>0.92</v>
      </c>
      <c r="D382" s="69">
        <f t="shared" si="35"/>
        <v>758.27224390332685</v>
      </c>
      <c r="E382" s="203">
        <f t="shared" si="47"/>
        <v>0.19422008739510041</v>
      </c>
      <c r="F382" s="435" t="str">
        <f t="shared" si="48"/>
        <v>A</v>
      </c>
      <c r="G382" s="435">
        <f t="shared" si="49"/>
        <v>95</v>
      </c>
      <c r="H382" s="353">
        <f t="shared" si="50"/>
        <v>95</v>
      </c>
      <c r="I382" s="353">
        <f t="shared" si="51"/>
        <v>79</v>
      </c>
      <c r="J382" s="353">
        <f t="shared" si="52"/>
        <v>0.36</v>
      </c>
      <c r="K382" s="353">
        <f t="shared" si="45"/>
        <v>0.52</v>
      </c>
      <c r="L382" s="36">
        <f t="shared" si="53"/>
        <v>95.577991260489952</v>
      </c>
      <c r="M382" s="36">
        <f t="shared" si="54"/>
        <v>95.577991260489952</v>
      </c>
    </row>
    <row r="383" spans="1:13" x14ac:dyDescent="0.25">
      <c r="B383" s="200">
        <f t="shared" si="46"/>
        <v>718.53877832279261</v>
      </c>
      <c r="C383" s="95">
        <f t="shared" si="44"/>
        <v>0.92</v>
      </c>
      <c r="D383" s="69">
        <f t="shared" si="35"/>
        <v>781.02041122042669</v>
      </c>
      <c r="E383" s="203">
        <f t="shared" si="47"/>
        <v>0.20004669001695344</v>
      </c>
      <c r="F383" s="435" t="str">
        <f t="shared" si="48"/>
        <v>A</v>
      </c>
      <c r="G383" s="435">
        <f t="shared" si="49"/>
        <v>95</v>
      </c>
      <c r="H383" s="353">
        <f t="shared" si="50"/>
        <v>95</v>
      </c>
      <c r="I383" s="353">
        <f t="shared" si="51"/>
        <v>79</v>
      </c>
      <c r="J383" s="353">
        <f t="shared" si="52"/>
        <v>0.36</v>
      </c>
      <c r="K383" s="353">
        <f t="shared" si="45"/>
        <v>0.52</v>
      </c>
      <c r="L383" s="36">
        <f t="shared" si="53"/>
        <v>94.995330998304652</v>
      </c>
      <c r="M383" s="36">
        <f t="shared" si="54"/>
        <v>94.995330998304652</v>
      </c>
    </row>
    <row r="384" spans="1:13" x14ac:dyDescent="0.25">
      <c r="B384" s="200">
        <f t="shared" si="46"/>
        <v>740.09494167247647</v>
      </c>
      <c r="C384" s="95">
        <f t="shared" si="44"/>
        <v>0.92</v>
      </c>
      <c r="D384" s="69">
        <f t="shared" si="35"/>
        <v>804.45102355703955</v>
      </c>
      <c r="E384" s="203">
        <f t="shared" si="47"/>
        <v>0.20604809071746205</v>
      </c>
      <c r="F384" s="435" t="str">
        <f t="shared" si="48"/>
        <v>A</v>
      </c>
      <c r="G384" s="435">
        <f t="shared" si="49"/>
        <v>95</v>
      </c>
      <c r="H384" s="353">
        <f t="shared" si="50"/>
        <v>95</v>
      </c>
      <c r="I384" s="353">
        <f t="shared" si="51"/>
        <v>79</v>
      </c>
      <c r="J384" s="353">
        <f t="shared" si="52"/>
        <v>0.36</v>
      </c>
      <c r="K384" s="353">
        <f t="shared" si="45"/>
        <v>0.52</v>
      </c>
      <c r="L384" s="36">
        <f t="shared" si="53"/>
        <v>94.395190928253797</v>
      </c>
      <c r="M384" s="36">
        <f t="shared" si="54"/>
        <v>94.395190928253797</v>
      </c>
    </row>
    <row r="385" spans="2:13" x14ac:dyDescent="0.25">
      <c r="B385" s="200">
        <f t="shared" si="46"/>
        <v>762.29778992265074</v>
      </c>
      <c r="C385" s="95">
        <f t="shared" si="44"/>
        <v>0.92</v>
      </c>
      <c r="D385" s="69">
        <f t="shared" si="35"/>
        <v>828.58455426375076</v>
      </c>
      <c r="E385" s="203">
        <f t="shared" si="47"/>
        <v>0.2122295334389859</v>
      </c>
      <c r="F385" s="435" t="str">
        <f t="shared" si="48"/>
        <v>A</v>
      </c>
      <c r="G385" s="435">
        <f t="shared" si="49"/>
        <v>95</v>
      </c>
      <c r="H385" s="353">
        <f t="shared" si="50"/>
        <v>95</v>
      </c>
      <c r="I385" s="353">
        <f t="shared" si="51"/>
        <v>79</v>
      </c>
      <c r="J385" s="353">
        <f t="shared" si="52"/>
        <v>0.36</v>
      </c>
      <c r="K385" s="353">
        <f t="shared" si="45"/>
        <v>0.52</v>
      </c>
      <c r="L385" s="36">
        <f t="shared" si="53"/>
        <v>93.777046656101405</v>
      </c>
      <c r="M385" s="36">
        <f t="shared" si="54"/>
        <v>93.777046656101405</v>
      </c>
    </row>
    <row r="386" spans="2:13" x14ac:dyDescent="0.25">
      <c r="B386" s="200">
        <f t="shared" si="46"/>
        <v>785.16672362033023</v>
      </c>
      <c r="C386" s="95">
        <f t="shared" si="44"/>
        <v>0.92</v>
      </c>
      <c r="D386" s="69">
        <f t="shared" si="35"/>
        <v>853.44209089166327</v>
      </c>
      <c r="E386" s="203">
        <f t="shared" si="47"/>
        <v>0.21859641944215549</v>
      </c>
      <c r="F386" s="435" t="str">
        <f t="shared" si="48"/>
        <v>A</v>
      </c>
      <c r="G386" s="435">
        <f t="shared" si="49"/>
        <v>95</v>
      </c>
      <c r="H386" s="353">
        <f t="shared" si="50"/>
        <v>95</v>
      </c>
      <c r="I386" s="353">
        <f t="shared" si="51"/>
        <v>79</v>
      </c>
      <c r="J386" s="353">
        <f t="shared" si="52"/>
        <v>0.36</v>
      </c>
      <c r="K386" s="353">
        <f t="shared" si="45"/>
        <v>0.52</v>
      </c>
      <c r="L386" s="36">
        <f t="shared" si="53"/>
        <v>93.140358055784446</v>
      </c>
      <c r="M386" s="36">
        <f t="shared" si="54"/>
        <v>93.140358055784446</v>
      </c>
    </row>
    <row r="387" spans="2:13" x14ac:dyDescent="0.25">
      <c r="B387" s="200">
        <f t="shared" si="46"/>
        <v>808.72172532894012</v>
      </c>
      <c r="C387" s="95">
        <f t="shared" si="44"/>
        <v>0.93</v>
      </c>
      <c r="D387" s="69">
        <f t="shared" si="35"/>
        <v>869.59325304187109</v>
      </c>
      <c r="E387" s="203">
        <f t="shared" si="47"/>
        <v>0.22273329791761992</v>
      </c>
      <c r="F387" s="435" t="str">
        <f t="shared" si="48"/>
        <v>A</v>
      </c>
      <c r="G387" s="435">
        <f t="shared" si="49"/>
        <v>95</v>
      </c>
      <c r="H387" s="353">
        <f t="shared" si="50"/>
        <v>95</v>
      </c>
      <c r="I387" s="353">
        <f t="shared" si="51"/>
        <v>79</v>
      </c>
      <c r="J387" s="353">
        <f t="shared" si="52"/>
        <v>0.36</v>
      </c>
      <c r="K387" s="353">
        <f t="shared" si="45"/>
        <v>0.52</v>
      </c>
      <c r="L387" s="36">
        <f t="shared" si="53"/>
        <v>92.726670208238005</v>
      </c>
      <c r="M387" s="36">
        <f t="shared" si="54"/>
        <v>92.726670208238005</v>
      </c>
    </row>
    <row r="388" spans="2:13" x14ac:dyDescent="0.25">
      <c r="B388" s="200">
        <f t="shared" si="46"/>
        <v>832.9833770888082</v>
      </c>
      <c r="C388" s="95">
        <f t="shared" si="44"/>
        <v>0.93</v>
      </c>
      <c r="D388" s="69">
        <f t="shared" si="35"/>
        <v>895.68105063312703</v>
      </c>
      <c r="E388" s="203">
        <f t="shared" si="47"/>
        <v>0.22941529685514847</v>
      </c>
      <c r="F388" s="435" t="str">
        <f t="shared" si="48"/>
        <v>A</v>
      </c>
      <c r="G388" s="435">
        <f t="shared" si="49"/>
        <v>95</v>
      </c>
      <c r="H388" s="353">
        <f t="shared" si="50"/>
        <v>95</v>
      </c>
      <c r="I388" s="353">
        <f t="shared" si="51"/>
        <v>79</v>
      </c>
      <c r="J388" s="353">
        <f t="shared" si="52"/>
        <v>0.36</v>
      </c>
      <c r="K388" s="353">
        <f t="shared" si="45"/>
        <v>0.52</v>
      </c>
      <c r="L388" s="36">
        <f t="shared" si="53"/>
        <v>92.058470314485149</v>
      </c>
      <c r="M388" s="36">
        <f t="shared" si="54"/>
        <v>92.058470314485149</v>
      </c>
    </row>
    <row r="389" spans="2:13" x14ac:dyDescent="0.25">
      <c r="B389" s="200">
        <f t="shared" si="46"/>
        <v>857.97287840147271</v>
      </c>
      <c r="C389" s="95">
        <f t="shared" si="44"/>
        <v>0.93</v>
      </c>
      <c r="D389" s="69">
        <f t="shared" si="35"/>
        <v>922.55148215212114</v>
      </c>
      <c r="E389" s="203">
        <f t="shared" si="47"/>
        <v>0.236297755760803</v>
      </c>
      <c r="F389" s="435" t="str">
        <f>IF(E389&lt;=$F$307,$C$297,IF(AND(E389&gt;$F$307,E389&lt;=$F$308),$C$298,IF(AND(E389&gt;$F$308,E389&lt;=$F$309),$C$299,IF(AND(E389&gt;$F$309,E389&lt;=$F$310),$C$300,IF(AND(E389&gt;$F$310,E389&lt;=$F$311),$C$301,IF(E389&gt;$F$311,$C$302))))))</f>
        <v>A</v>
      </c>
      <c r="G389" s="435">
        <f t="shared" si="49"/>
        <v>95</v>
      </c>
      <c r="H389" s="353">
        <f t="shared" si="50"/>
        <v>95</v>
      </c>
      <c r="I389" s="353">
        <f t="shared" si="51"/>
        <v>79</v>
      </c>
      <c r="J389" s="353">
        <f t="shared" si="52"/>
        <v>0.36</v>
      </c>
      <c r="K389" s="353">
        <f t="shared" si="45"/>
        <v>0.52</v>
      </c>
      <c r="L389" s="36">
        <f t="shared" si="53"/>
        <v>91.370224423919694</v>
      </c>
      <c r="M389" s="36">
        <f t="shared" si="54"/>
        <v>91.370224423919694</v>
      </c>
    </row>
    <row r="390" spans="2:13" x14ac:dyDescent="0.25">
      <c r="B390" s="200">
        <f t="shared" si="46"/>
        <v>883.71206475351664</v>
      </c>
      <c r="C390" s="95">
        <f t="shared" si="44"/>
        <v>0.93</v>
      </c>
      <c r="D390" s="69">
        <f t="shared" si="35"/>
        <v>950.22802661668447</v>
      </c>
      <c r="E390" s="203">
        <f t="shared" si="47"/>
        <v>0.24338668843362701</v>
      </c>
      <c r="F390" s="435" t="str">
        <f t="shared" si="48"/>
        <v>A</v>
      </c>
      <c r="G390" s="435">
        <f t="shared" si="49"/>
        <v>95</v>
      </c>
      <c r="H390" s="353">
        <f t="shared" si="50"/>
        <v>95</v>
      </c>
      <c r="I390" s="353">
        <f t="shared" si="51"/>
        <v>79</v>
      </c>
      <c r="J390" s="353">
        <f t="shared" si="52"/>
        <v>0.36</v>
      </c>
      <c r="K390" s="353">
        <f t="shared" si="45"/>
        <v>0.52</v>
      </c>
      <c r="L390" s="36">
        <f t="shared" si="53"/>
        <v>90.661331156637289</v>
      </c>
      <c r="M390" s="36">
        <f t="shared" si="54"/>
        <v>90.661331156637289</v>
      </c>
    </row>
    <row r="391" spans="2:13" x14ac:dyDescent="0.25">
      <c r="B391" s="200">
        <f>J70/12</f>
        <v>910.22342669612226</v>
      </c>
      <c r="C391" s="95">
        <f t="shared" ref="C391:C426" si="55">IF(B391&lt;=100,$B$125,IF(AND(B391&gt;100,B391&lt;=200),$B$126,IF(AND(B391&gt;200,B391&lt;=400),$B$127,IF(AND(B391&gt;400,B391&lt;=500),$B$128,IF(AND(B391&gt;500,B391&lt;=600),$B$129,IF(AND(B391&gt;600,B391&lt;=700),$B$130,IF(AND(B391&gt;700,B391&lt;=800),$B$131,IF(AND(B391&gt;800,B391&lt;=900),$B$132,IF(AND(B391&gt;900,B391&lt;=1000),$B$133,IF(AND(B391&gt;1000,B391&lt;=1100),$B$134,IF(AND(B391&gt;1100,B391&lt;=1200),$B$135,IF(AND(B391&gt;1200,B391&lt;=1300),$B$136,IF(AND(B391&gt;1300,B391&lt;=1400),$B$137,IF(AND(B391&gt;1400,B391&lt;=1500),$B$138,IF(AND(B391&gt;1500,B391&lt;=1600),$B$139,IF(AND(B391&gt;1600,B391&lt;=1700),$B$140,IF(AND(B391&gt;1700,B391&lt;=1800),$B$141,IF(AND(B391&gt;1800,B391&lt;=1900),$B$142,IF(B391&gt;1900,$B$143)))))))))))))))))))</f>
        <v>0.93</v>
      </c>
      <c r="D391" s="69">
        <f t="shared" ref="D391:D426" si="56">B391/C391</f>
        <v>978.73486741518514</v>
      </c>
      <c r="E391" s="203">
        <f t="shared" si="47"/>
        <v>0.25068828908663587</v>
      </c>
      <c r="F391" s="435" t="str">
        <f t="shared" si="48"/>
        <v>A</v>
      </c>
      <c r="G391" s="435">
        <f t="shared" si="49"/>
        <v>95</v>
      </c>
      <c r="H391" s="353">
        <f t="shared" si="50"/>
        <v>95</v>
      </c>
      <c r="I391" s="353">
        <f t="shared" si="51"/>
        <v>79</v>
      </c>
      <c r="J391" s="353">
        <f t="shared" si="52"/>
        <v>0.36</v>
      </c>
      <c r="K391" s="353">
        <f>IF(J391=$F$307,$F$308,IF(J391=$F$308,$F$309,IF(J391=$F$309,$F$310,IF(J391=$F$310,$F$311,$F$311))))</f>
        <v>0.52</v>
      </c>
      <c r="L391" s="36">
        <f t="shared" si="53"/>
        <v>89.93117109133641</v>
      </c>
      <c r="M391" s="36">
        <f t="shared" si="54"/>
        <v>89.93117109133641</v>
      </c>
    </row>
    <row r="392" spans="2:13" x14ac:dyDescent="0.25">
      <c r="B392" s="200">
        <f>J71/12</f>
        <v>937.53012949700599</v>
      </c>
      <c r="C392" s="95">
        <f>IF(B392&lt;=100,$B$125,IF(AND(B392&gt;100,B392&lt;=200),$B$126,IF(AND(B392&gt;200,B392&lt;=400),$B$127,IF(AND(B392&gt;400,B392&lt;=500),$B$128,IF(AND(B392&gt;500,B392&lt;=600),$B$129,IF(AND(B392&gt;600,B392&lt;=700),$B$130,IF(AND(B392&gt;700,B392&lt;=800),$B$131,IF(AND(B392&gt;800,B392&lt;=900),$B$132,IF(AND(B392&gt;900,B392&lt;=1000),$B$133,IF(AND(B392&gt;1000,B392&lt;=1100),$B$134,IF(AND(B392&gt;1100,B392&lt;=1200),$B$135,IF(AND(B392&gt;1200,B392&lt;=1300),$B$136,IF(AND(B392&gt;1300,B392&lt;=1400),$B$137,IF(AND(B392&gt;1400,B392&lt;=1500),$B$138,IF(AND(B392&gt;1500,B392&lt;=1600),$B$139,IF(AND(B392&gt;1600,B392&lt;=1700),$B$140,IF(AND(B392&gt;1700,B392&lt;=1800),$B$141,IF(AND(B392&gt;1800,B392&lt;=1900),$B$142,IF(B392&gt;1900,$B$143)))))))))))))))))))</f>
        <v>0.93</v>
      </c>
      <c r="D392" s="69">
        <f>B392/C392</f>
        <v>1008.0969134376408</v>
      </c>
      <c r="E392" s="203">
        <f>D392/($F$151*$F$150*$F$152*$F$156*$F$157)</f>
        <v>0.25820893775923498</v>
      </c>
      <c r="F392" s="435" t="str">
        <f>IF(E392&lt;=$F$307,$C$297,IF(AND(E392&gt;$F$307,E392&lt;=$F$308),$C$298,IF(AND(E392&gt;$F$308,E392&lt;=$F$309),$C$299,IF(AND(E392&gt;$F$309,E392&lt;=$F$310),$C$300,IF(AND(E392&gt;$F$310,E392&lt;=$F$311),$C$301,IF(E392&gt;$F$311,$C$302))))))</f>
        <v>A</v>
      </c>
      <c r="G392" s="435">
        <f>IF(E392&lt;=$F$297,$E$307,IF(AND(E392&gt;$F$297,E392&lt;=$F$298),$E$308,IF(AND(E392&gt;$F$298,E392&lt;=$F$299),$E$309,IF(AND(E392&gt;$F$299,E392&lt;=$F$300),$E$310,IF(AND(E392&gt;$F$300,E392&lt;=$F$301),$E$311,IF(E392&gt;$F$301,$E$312))))))</f>
        <v>95</v>
      </c>
      <c r="H392" s="353">
        <f>IF(G392&gt;=$E$307,$E$307,IF(AND(G392&lt;$E$307,G392&gt;=$E$308),$E$308,IF(AND(G392&lt;$E$308,G392&gt;=$E$309),$E$309,IF(AND(G392&lt;$E$309,G392&gt;=$E$310),$E$310,IF(AND(G392&lt;$E$310,G392&gt;=$E$311),$E$311,$E$311)))))</f>
        <v>95</v>
      </c>
      <c r="I392" s="353">
        <f>IF(H392=$E$307,$E$308,IF(H392=$E$308,$E$309,IF(H392=$E$309,$E$310,IF(H392=$E$310,$E$311))))</f>
        <v>79</v>
      </c>
      <c r="J392" s="353">
        <f>IF(E392&lt;=$F$307,$F$307,IF(AND(E392&gt;$F$307,E392&lt;=$F$308),$F$308,IF(AND(E392&gt;$F$308,E392&lt;=$F$309),$F$309,IF(AND(E392&gt;$F$309,E392&lt;=$F$310),$F$310,IF(AND(E392&gt;$F$310,E392&lt;=$F$311),$F$311,$F$311)))))</f>
        <v>0.36</v>
      </c>
      <c r="K392" s="353">
        <f>IF(J392=$F$307,$F$308,IF(J392=$F$308,$F$309,IF(J392=$F$309,$F$310,IF(J392=$F$310,$F$311,$F$311))))</f>
        <v>0.52</v>
      </c>
      <c r="L392" s="36">
        <f>I392+(J392-E392)*((H392-I392)/(K392-J392))</f>
        <v>89.179106224076492</v>
      </c>
      <c r="M392" s="36">
        <f>IF(AND(H392=I392,J392=K392),$E$311,L392)</f>
        <v>89.179106224076492</v>
      </c>
    </row>
    <row r="393" spans="2:13" x14ac:dyDescent="0.25">
      <c r="B393" s="200">
        <f>J72/12</f>
        <v>965.65603338191602</v>
      </c>
      <c r="C393" s="95">
        <f>IF(B393&lt;=100,$B$125,IF(AND(B393&gt;100,B393&lt;=200),$B$126,IF(AND(B393&gt;200,B393&lt;=400),$B$127,IF(AND(B393&gt;400,B393&lt;=500),$B$128,IF(AND(B393&gt;500,B393&lt;=600),$B$129,IF(AND(B393&gt;600,B393&lt;=700),$B$130,IF(AND(B393&gt;700,B393&lt;=800),$B$131,IF(AND(B393&gt;800,B393&lt;=900),$B$132,IF(AND(B393&gt;900,B393&lt;=1000),$B$133,IF(AND(B393&gt;1000,B393&lt;=1100),$B$134,IF(AND(B393&gt;1100,B393&lt;=1200),$B$135,IF(AND(B393&gt;1200,B393&lt;=1300),$B$136,IF(AND(B393&gt;1300,B393&lt;=1400),$B$137,IF(AND(B393&gt;1400,B393&lt;=1500),$B$138,IF(AND(B393&gt;1500,B393&lt;=1600),$B$139,IF(AND(B393&gt;1600,B393&lt;=1700),$B$140,IF(AND(B393&gt;1700,B393&lt;=1800),$B$141,IF(AND(B393&gt;1800,B393&lt;=1900),$B$142,IF(B393&gt;1900,$B$143)))))))))))))))))))</f>
        <v>0.93</v>
      </c>
      <c r="D393" s="69">
        <f>B393/C393</f>
        <v>1038.3398208407698</v>
      </c>
      <c r="E393" s="203">
        <f>D393/($F$151*$F$150*$F$152*$F$156*$F$157)</f>
        <v>0.26595520589201194</v>
      </c>
      <c r="F393" s="435" t="str">
        <f>IF(E393&lt;=$F$307,$C$297,IF(AND(E393&gt;$F$307,E393&lt;=$F$308),$C$298,IF(AND(E393&gt;$F$308,E393&lt;=$F$309),$C$299,IF(AND(E393&gt;$F$309,E393&lt;=$F$310),$C$300,IF(AND(E393&gt;$F$310,E393&lt;=$F$311),$C$301,IF(E393&gt;$F$311,$C$302))))))</f>
        <v>A</v>
      </c>
      <c r="G393" s="435">
        <f>IF(E393&lt;=$F$297,$E$307,IF(AND(E393&gt;$F$297,E393&lt;=$F$298),$E$308,IF(AND(E393&gt;$F$298,E393&lt;=$F$299),$E$309,IF(AND(E393&gt;$F$299,E393&lt;=$F$300),$E$310,IF(AND(E393&gt;$F$300,E393&lt;=$F$301),$E$311,IF(E393&gt;$F$301,$E$312))))))</f>
        <v>95</v>
      </c>
      <c r="H393" s="353">
        <f>IF(G393&gt;=$E$307,$E$307,IF(AND(G393&lt;$E$307,G393&gt;=$E$308),$E$308,IF(AND(G393&lt;$E$308,G393&gt;=$E$309),$E$309,IF(AND(G393&lt;$E$309,G393&gt;=$E$310),$E$310,IF(AND(G393&lt;$E$310,G393&gt;=$E$311),$E$311,$E$311)))))</f>
        <v>95</v>
      </c>
      <c r="I393" s="353">
        <f>IF(H393=$E$307,$E$308,IF(H393=$E$308,$E$309,IF(H393=$E$309,$E$310,IF(H393=$E$310,$E$311))))</f>
        <v>79</v>
      </c>
      <c r="J393" s="353">
        <f>IF(E393&lt;=$F$307,$F$307,IF(AND(E393&gt;$F$307,E393&lt;=$F$308),$F$308,IF(AND(E393&gt;$F$308,E393&lt;=$F$309),$F$309,IF(AND(E393&gt;$F$309,E393&lt;=$F$310),$F$310,IF(AND(E393&gt;$F$310,E393&lt;=$F$311),$F$311,$F$311)))))</f>
        <v>0.36</v>
      </c>
      <c r="K393" s="353">
        <f>IF(J393=$F$307,$F$308,IF(J393=$F$308,$F$309,IF(J393=$F$309,$F$310,IF(J393=$F$310,$F$311,$F$311))))</f>
        <v>0.52</v>
      </c>
      <c r="L393" s="36">
        <f>I393+(J393-E393)*((H393-I393)/(K393-J393))</f>
        <v>88.4044794107988</v>
      </c>
      <c r="M393" s="36">
        <f>IF(AND(H393=I393,J393=K393),$E$311,L393)</f>
        <v>88.4044794107988</v>
      </c>
    </row>
    <row r="394" spans="2:13" x14ac:dyDescent="0.25">
      <c r="B394" s="36"/>
      <c r="C394" s="47"/>
      <c r="D394" s="394"/>
      <c r="F394" s="353"/>
      <c r="G394" s="353"/>
      <c r="M394" s="36"/>
    </row>
    <row r="395" spans="2:13" x14ac:dyDescent="0.25">
      <c r="B395" s="164" t="s">
        <v>107</v>
      </c>
      <c r="C395" s="125" t="s">
        <v>143</v>
      </c>
      <c r="D395" s="125" t="s">
        <v>380</v>
      </c>
      <c r="E395" s="438" t="s">
        <v>409</v>
      </c>
      <c r="F395" s="125" t="s">
        <v>19</v>
      </c>
      <c r="G395" s="164" t="s">
        <v>331</v>
      </c>
      <c r="H395" s="66" t="s">
        <v>486</v>
      </c>
      <c r="I395" s="66" t="s">
        <v>487</v>
      </c>
      <c r="M395" s="36"/>
    </row>
    <row r="396" spans="2:13" x14ac:dyDescent="0.25">
      <c r="B396" s="200">
        <f>J77/12</f>
        <v>750</v>
      </c>
      <c r="C396" s="95">
        <f>IF(B396&lt;=100,$B$125,IF(AND(B396&gt;100,B396&lt;=200),$B$126,IF(AND(B396&gt;200,B396&lt;=400),$B$127,IF(AND(B396&gt;400,B396&lt;=500),$B$128,IF(AND(B396&gt;500,B396&lt;=600),$B$129,IF(AND(B396&gt;600,B396&lt;=700),$B$130,IF(AND(B396&gt;700,B396&lt;=800),$B$131,IF(AND(B396&gt;800,B396&lt;=900),$B$132,IF(AND(B396&gt;900,B396&lt;=1000),$B$133,IF(AND(B396&gt;1000,B396&lt;=1100),$B$134,IF(AND(B396&gt;1100,B396&lt;=1200),$B$135,IF(AND(B396&gt;1200,B396&lt;=1300),$B$136,IF(AND(B396&gt;1300,B396&lt;=1400),$B$137,IF(AND(B396&gt;1400,B396&lt;=1500),$B$138,IF(AND(B396&gt;1500,B396&lt;=1600),$B$139,IF(AND(B396&gt;1600,B396&lt;=1700),$B$140,IF(AND(B396&gt;1700,B396&lt;=1800),$B$141,IF(AND(B396&gt;1800,B396&lt;=1900),$B$142,IF(B396&gt;1900,$B$143)))))))))))))))))))</f>
        <v>0.92</v>
      </c>
      <c r="D396" s="69">
        <f>B396/C396</f>
        <v>815.21739130434776</v>
      </c>
      <c r="E396" s="203" t="e">
        <f>D396/($G$151*$G$150*$G$152*$G$156*$G$157)</f>
        <v>#VALUE!</v>
      </c>
      <c r="F396" s="437" t="e">
        <f>IF(E396&lt;=$F$317,$C$297,IF(AND(E396&gt;$F$317,E396&lt;=$F$318),$C$298,IF(AND(E396&gt;$F$318,E396&lt;=$F$319),$C$299,IF(AND(E396&gt;$F$319,E396&lt;=$F$320),$C$300,IF(AND(E396&gt;$F$320,E396&lt;=$F$321),$C$301,IF(E396&gt;$F$321,$C$302))))))</f>
        <v>#VALUE!</v>
      </c>
      <c r="G396" s="437" t="e">
        <f>IF(E396&lt;=$F$297,$E$317,IF(AND(E396&gt;$F$297,E396&lt;=$F$298),$E$318,IF(AND(E396&gt;$F$298,E396&lt;=$F$299),$E$319,IF(AND(E396&gt;$F$299,E396&lt;=$F$300),$E$320,IF(AND(E396&gt;$F$300,E396&lt;=$F$301),$E$321,IF(E396&gt;$F$301,$E$322))))))</f>
        <v>#VALUE!</v>
      </c>
      <c r="H396" s="353" t="e">
        <f>IF(G396&gt;=$E$317,$E$317,IF(AND(G396&lt;$E$317,G396&gt;=$E$318),$E$318,IF(AND(G396&lt;$E$318,G396&gt;=$E$319),$E$319,IF(AND(G396&lt;$E$319,G396&gt;=$E$320),$E$320,IF(AND(G396&lt;$E$320,G396&gt;=$E$321),$E$321,$E$321)))))</f>
        <v>#VALUE!</v>
      </c>
      <c r="I396" s="353" t="e">
        <f>IF(H396=$E$317,$E$318,IF(H396=$E$318,$E$319,IF(H396=$E$319,$E$320,IF(H396=$E$320,$E$321))))</f>
        <v>#VALUE!</v>
      </c>
      <c r="J396" s="353" t="e">
        <f>IF(E396&lt;=$F$317,$F$317,IF(AND(E396&gt;$F$317,E396&lt;=$F$318),$F$318,IF(AND(E396&gt;$F$318,E396&lt;=$F$319),$F$319,IF(AND(E396&gt;$F$319,E396&lt;=$F$320),$F$320,IF(AND(E396&gt;$F$320,E396&lt;=$F$321),$F$321,$F$321)))))</f>
        <v>#VALUE!</v>
      </c>
      <c r="K396" s="353" t="e">
        <f>IF(J396=$F$317,$F$318,IF(J396=$F$318,$F$319,IF(J396=$F$319,$F$320,IF(J396=$F$320,$F$321,$F$321))))</f>
        <v>#VALUE!</v>
      </c>
      <c r="L396" s="36" t="e">
        <f>I396+(J396-E396)*((H396-I396)/(K396-J396))</f>
        <v>#VALUE!</v>
      </c>
      <c r="M396" s="36" t="e">
        <f>IF(AND(H396=I396,J396=K396),$E$321,L396)</f>
        <v>#VALUE!</v>
      </c>
    </row>
    <row r="397" spans="2:13" x14ac:dyDescent="0.25">
      <c r="B397" s="200">
        <f t="shared" ref="B397:B426" si="57">J78/12</f>
        <v>772.5</v>
      </c>
      <c r="C397" s="95">
        <f t="shared" si="55"/>
        <v>0.92</v>
      </c>
      <c r="D397" s="69">
        <f t="shared" si="56"/>
        <v>839.67391304347825</v>
      </c>
      <c r="E397" s="203" t="e">
        <f t="shared" ref="E397:E426" si="58">D397/($G$151*$G$150*$G$152*$G$156*$G$157)</f>
        <v>#VALUE!</v>
      </c>
      <c r="F397" s="435" t="e">
        <f t="shared" ref="F397:F426" si="59">IF(E397&lt;=$F$317,$C$297,IF(AND(E397&gt;$F$317,E397&lt;=$F$318),$C$298,IF(AND(E397&gt;$F$318,E397&lt;=$F$319),$C$299,IF(AND(E397&gt;$F$319,E397&lt;=$F$320),$C$300,IF(AND(E397&gt;$F$320,E397&lt;=$F$321),$C$301,IF(E397&gt;$F$321,$C$302))))))</f>
        <v>#VALUE!</v>
      </c>
      <c r="G397" s="437" t="e">
        <f>IF(E397&lt;=$F$297,$E$317,IF(AND(E397&gt;$F$297,E397&lt;=$F$298),$E$318,IF(AND(E397&gt;$F$298,E397&lt;=$F$299),$E$319,IF(AND(E397&gt;$F$299,E397&lt;=$F$300),$E$320,IF(AND(E397&gt;$F$300,E397&lt;=$F$301),$E$321,IF(E397&gt;$F$301,$E$322))))))</f>
        <v>#VALUE!</v>
      </c>
      <c r="H397" s="353" t="e">
        <f t="shared" ref="H397:H426" si="60">IF(G397&gt;=$E$317,$E$317,IF(AND(G397&lt;$E$317,G397&gt;=$E$318),$E$318,IF(AND(G397&lt;$E$318,G397&gt;=$E$319),$E$319,IF(AND(G397&lt;$E$319,G397&gt;=$E$320),$E$320,IF(AND(G397&lt;$E$320,G397&gt;=$E$321),$E$321,$E$321)))))</f>
        <v>#VALUE!</v>
      </c>
      <c r="I397" s="353" t="e">
        <f t="shared" ref="I397:I419" si="61">IF(H397=$E$317,$E$318,IF(H397=$E$318,$E$319,IF(H397=$E$319,$E$320,IF(H397=$E$320,$E$321))))</f>
        <v>#VALUE!</v>
      </c>
      <c r="J397" s="353" t="e">
        <f t="shared" ref="J397:J426" si="62">IF(E397&lt;=$F$317,$F$317,IF(AND(E397&gt;$F$317,E397&lt;=$F$318),$F$318,IF(AND(E397&gt;$F$318,E397&lt;=$F$319),$F$319,IF(AND(E397&gt;$F$319,E397&lt;=$F$320),$F$320,IF(AND(E397&gt;$F$320,E397&lt;=$F$321),$F$321,$F$321)))))</f>
        <v>#VALUE!</v>
      </c>
      <c r="K397" s="353" t="e">
        <f t="shared" ref="K397:K426" si="63">IF(J397=$F$317,$F$318,IF(J397=$F$318,$F$319,IF(J397=$F$319,$F$320,IF(J397=$F$320,$F$321,$F$321))))</f>
        <v>#VALUE!</v>
      </c>
      <c r="L397" s="36" t="e">
        <f t="shared" ref="L397:L426" si="64">I397+(J397-E397)*((H397-I397)/(K397-J397))</f>
        <v>#VALUE!</v>
      </c>
      <c r="M397" s="36" t="e">
        <f t="shared" ref="M397:M426" si="65">IF(AND(H397=I397,J397=K397),$E$321,L397)</f>
        <v>#VALUE!</v>
      </c>
    </row>
    <row r="398" spans="2:13" x14ac:dyDescent="0.25">
      <c r="B398" s="200">
        <f t="shared" si="57"/>
        <v>795.67499999999973</v>
      </c>
      <c r="C398" s="95">
        <f t="shared" si="55"/>
        <v>0.92</v>
      </c>
      <c r="D398" s="69">
        <f t="shared" si="56"/>
        <v>864.86413043478228</v>
      </c>
      <c r="E398" s="203" t="e">
        <f t="shared" si="58"/>
        <v>#VALUE!</v>
      </c>
      <c r="F398" s="435" t="e">
        <f t="shared" si="59"/>
        <v>#VALUE!</v>
      </c>
      <c r="G398" s="437" t="e">
        <f t="shared" ref="G398:G426" si="66">IF(E398&lt;=$F$297,$E$317,IF(AND(E398&gt;$F$297,E398&lt;=$F$298),$E$318,IF(AND(E398&gt;$F$298,E398&lt;=$F$299),$E$319,IF(AND(E398&gt;$F$299,E398&lt;=$F$300),$E$320,IF(AND(E398&gt;$F$300,E398&lt;=$F$301),$E$321,IF(E398&gt;$F$301,$E$322))))))</f>
        <v>#VALUE!</v>
      </c>
      <c r="H398" s="353" t="e">
        <f t="shared" si="60"/>
        <v>#VALUE!</v>
      </c>
      <c r="I398" s="353" t="e">
        <f t="shared" si="61"/>
        <v>#VALUE!</v>
      </c>
      <c r="J398" s="353" t="e">
        <f t="shared" si="62"/>
        <v>#VALUE!</v>
      </c>
      <c r="K398" s="353" t="e">
        <f t="shared" si="63"/>
        <v>#VALUE!</v>
      </c>
      <c r="L398" s="36" t="e">
        <f t="shared" si="64"/>
        <v>#VALUE!</v>
      </c>
      <c r="M398" s="36" t="e">
        <f t="shared" si="65"/>
        <v>#VALUE!</v>
      </c>
    </row>
    <row r="399" spans="2:13" x14ac:dyDescent="0.25">
      <c r="B399" s="200">
        <f t="shared" si="57"/>
        <v>819.54525000000001</v>
      </c>
      <c r="C399" s="95">
        <f t="shared" si="55"/>
        <v>0.93</v>
      </c>
      <c r="D399" s="69">
        <f t="shared" si="56"/>
        <v>881.23145161290324</v>
      </c>
      <c r="E399" s="203" t="e">
        <f t="shared" si="58"/>
        <v>#VALUE!</v>
      </c>
      <c r="F399" s="435" t="e">
        <f t="shared" si="59"/>
        <v>#VALUE!</v>
      </c>
      <c r="G399" s="437" t="e">
        <f t="shared" si="66"/>
        <v>#VALUE!</v>
      </c>
      <c r="H399" s="353" t="e">
        <f t="shared" si="60"/>
        <v>#VALUE!</v>
      </c>
      <c r="I399" s="353" t="e">
        <f t="shared" si="61"/>
        <v>#VALUE!</v>
      </c>
      <c r="J399" s="353" t="e">
        <f t="shared" si="62"/>
        <v>#VALUE!</v>
      </c>
      <c r="K399" s="353" t="e">
        <f t="shared" si="63"/>
        <v>#VALUE!</v>
      </c>
      <c r="L399" s="36" t="e">
        <f t="shared" si="64"/>
        <v>#VALUE!</v>
      </c>
      <c r="M399" s="36" t="e">
        <f t="shared" si="65"/>
        <v>#VALUE!</v>
      </c>
    </row>
    <row r="400" spans="2:13" x14ac:dyDescent="0.25">
      <c r="B400" s="200">
        <f t="shared" si="57"/>
        <v>844.13160750000009</v>
      </c>
      <c r="C400" s="95">
        <f t="shared" si="55"/>
        <v>0.93</v>
      </c>
      <c r="D400" s="69">
        <f t="shared" si="56"/>
        <v>907.66839516129039</v>
      </c>
      <c r="E400" s="203" t="e">
        <f t="shared" si="58"/>
        <v>#VALUE!</v>
      </c>
      <c r="F400" s="435" t="e">
        <f t="shared" si="59"/>
        <v>#VALUE!</v>
      </c>
      <c r="G400" s="437" t="e">
        <f t="shared" si="66"/>
        <v>#VALUE!</v>
      </c>
      <c r="H400" s="353" t="e">
        <f t="shared" si="60"/>
        <v>#VALUE!</v>
      </c>
      <c r="I400" s="353" t="e">
        <f t="shared" si="61"/>
        <v>#VALUE!</v>
      </c>
      <c r="J400" s="353" t="e">
        <f t="shared" si="62"/>
        <v>#VALUE!</v>
      </c>
      <c r="K400" s="353" t="e">
        <f t="shared" si="63"/>
        <v>#VALUE!</v>
      </c>
      <c r="L400" s="36" t="e">
        <f t="shared" si="64"/>
        <v>#VALUE!</v>
      </c>
      <c r="M400" s="36" t="e">
        <f t="shared" si="65"/>
        <v>#VALUE!</v>
      </c>
    </row>
    <row r="401" spans="2:13" x14ac:dyDescent="0.25">
      <c r="B401" s="200">
        <f t="shared" si="57"/>
        <v>869.45555572499995</v>
      </c>
      <c r="C401" s="95">
        <f>IF(B401&lt;=100,$B$125,IF(AND(B401&gt;100,B401&lt;=200),$B$126,IF(AND(B401&gt;200,B401&lt;=400),$B$127,IF(AND(B401&gt;400,B401&lt;=500),$B$128,IF(AND(B401&gt;500,B401&lt;=600),$B$129,IF(AND(B401&gt;600,B401&lt;=700),$B$130,IF(AND(B401&gt;700,B401&lt;=800),$B$131,IF(AND(B401&gt;800,B401&lt;=900),$B$132,IF(AND(B401&gt;900,B401&lt;=1000),$B$133,IF(AND(B401&gt;1000,B401&lt;=1100),$B$134,IF(AND(B401&gt;1100,B401&lt;=1200),$B$135,IF(AND(B401&gt;1200,B401&lt;=1300),$B$136,IF(AND(B401&gt;1300,B401&lt;=1400),$B$137,IF(AND(B401&gt;1400,B401&lt;=1500),$B$138,IF(AND(B401&gt;1500,B401&lt;=1600),$B$139,IF(AND(B401&gt;1600,B401&lt;=1700),$B$140,IF(AND(B401&gt;1700,B401&lt;=1800),$B$141,IF(AND(B401&gt;1800,B401&lt;=1900),$B$142,IF(B401&gt;1900,$B$143)))))))))))))))))))</f>
        <v>0.93</v>
      </c>
      <c r="D401" s="69">
        <f t="shared" si="56"/>
        <v>934.8984470161289</v>
      </c>
      <c r="E401" s="203" t="e">
        <f t="shared" si="58"/>
        <v>#VALUE!</v>
      </c>
      <c r="F401" s="435" t="e">
        <f t="shared" si="59"/>
        <v>#VALUE!</v>
      </c>
      <c r="G401" s="437" t="e">
        <f t="shared" si="66"/>
        <v>#VALUE!</v>
      </c>
      <c r="H401" s="353" t="e">
        <f t="shared" si="60"/>
        <v>#VALUE!</v>
      </c>
      <c r="I401" s="353" t="e">
        <f t="shared" si="61"/>
        <v>#VALUE!</v>
      </c>
      <c r="J401" s="353" t="e">
        <f t="shared" si="62"/>
        <v>#VALUE!</v>
      </c>
      <c r="K401" s="353" t="e">
        <f t="shared" si="63"/>
        <v>#VALUE!</v>
      </c>
      <c r="L401" s="36" t="e">
        <f t="shared" si="64"/>
        <v>#VALUE!</v>
      </c>
      <c r="M401" s="36" t="e">
        <f t="shared" si="65"/>
        <v>#VALUE!</v>
      </c>
    </row>
    <row r="402" spans="2:13" x14ac:dyDescent="0.25">
      <c r="B402" s="200">
        <f t="shared" si="57"/>
        <v>895.53922239674978</v>
      </c>
      <c r="C402" s="95">
        <f t="shared" si="55"/>
        <v>0.93</v>
      </c>
      <c r="D402" s="69">
        <f t="shared" si="56"/>
        <v>962.94540042661265</v>
      </c>
      <c r="E402" s="203" t="e">
        <f t="shared" si="58"/>
        <v>#VALUE!</v>
      </c>
      <c r="F402" s="435" t="e">
        <f t="shared" si="59"/>
        <v>#VALUE!</v>
      </c>
      <c r="G402" s="437" t="e">
        <f t="shared" si="66"/>
        <v>#VALUE!</v>
      </c>
      <c r="H402" s="353" t="e">
        <f t="shared" si="60"/>
        <v>#VALUE!</v>
      </c>
      <c r="I402" s="353" t="e">
        <f t="shared" si="61"/>
        <v>#VALUE!</v>
      </c>
      <c r="J402" s="353" t="e">
        <f t="shared" si="62"/>
        <v>#VALUE!</v>
      </c>
      <c r="K402" s="353" t="e">
        <f t="shared" si="63"/>
        <v>#VALUE!</v>
      </c>
      <c r="L402" s="36" t="e">
        <f t="shared" si="64"/>
        <v>#VALUE!</v>
      </c>
      <c r="M402" s="36" t="e">
        <f t="shared" si="65"/>
        <v>#VALUE!</v>
      </c>
    </row>
    <row r="403" spans="2:13" x14ac:dyDescent="0.25">
      <c r="B403" s="200">
        <f t="shared" si="57"/>
        <v>922.40539906865251</v>
      </c>
      <c r="C403" s="95">
        <f t="shared" si="55"/>
        <v>0.93</v>
      </c>
      <c r="D403" s="69">
        <f t="shared" si="56"/>
        <v>991.8337624394112</v>
      </c>
      <c r="E403" s="203" t="e">
        <f t="shared" si="58"/>
        <v>#VALUE!</v>
      </c>
      <c r="F403" s="435" t="e">
        <f t="shared" si="59"/>
        <v>#VALUE!</v>
      </c>
      <c r="G403" s="437" t="e">
        <f t="shared" si="66"/>
        <v>#VALUE!</v>
      </c>
      <c r="H403" s="353" t="e">
        <f t="shared" si="60"/>
        <v>#VALUE!</v>
      </c>
      <c r="I403" s="353" t="e">
        <f t="shared" si="61"/>
        <v>#VALUE!</v>
      </c>
      <c r="J403" s="353" t="e">
        <f t="shared" si="62"/>
        <v>#VALUE!</v>
      </c>
      <c r="K403" s="353" t="e">
        <f t="shared" si="63"/>
        <v>#VALUE!</v>
      </c>
      <c r="L403" s="36" t="e">
        <f t="shared" si="64"/>
        <v>#VALUE!</v>
      </c>
      <c r="M403" s="36" t="e">
        <f t="shared" si="65"/>
        <v>#VALUE!</v>
      </c>
    </row>
    <row r="404" spans="2:13" x14ac:dyDescent="0.25">
      <c r="B404" s="200">
        <f t="shared" si="57"/>
        <v>950.07756104071211</v>
      </c>
      <c r="C404" s="95">
        <f t="shared" si="55"/>
        <v>0.93</v>
      </c>
      <c r="D404" s="69">
        <f t="shared" si="56"/>
        <v>1021.5887753125936</v>
      </c>
      <c r="E404" s="203" t="e">
        <f t="shared" si="58"/>
        <v>#VALUE!</v>
      </c>
      <c r="F404" s="435" t="e">
        <f t="shared" si="59"/>
        <v>#VALUE!</v>
      </c>
      <c r="G404" s="437" t="e">
        <f t="shared" si="66"/>
        <v>#VALUE!</v>
      </c>
      <c r="H404" s="353" t="e">
        <f t="shared" si="60"/>
        <v>#VALUE!</v>
      </c>
      <c r="I404" s="353" t="e">
        <f t="shared" si="61"/>
        <v>#VALUE!</v>
      </c>
      <c r="J404" s="353" t="e">
        <f t="shared" si="62"/>
        <v>#VALUE!</v>
      </c>
      <c r="K404" s="353" t="e">
        <f t="shared" si="63"/>
        <v>#VALUE!</v>
      </c>
      <c r="L404" s="36" t="e">
        <f t="shared" si="64"/>
        <v>#VALUE!</v>
      </c>
      <c r="M404" s="36" t="e">
        <f t="shared" si="65"/>
        <v>#VALUE!</v>
      </c>
    </row>
    <row r="405" spans="2:13" x14ac:dyDescent="0.25">
      <c r="B405" s="200">
        <f t="shared" si="57"/>
        <v>978.57988787193335</v>
      </c>
      <c r="C405" s="95">
        <f t="shared" si="55"/>
        <v>0.93</v>
      </c>
      <c r="D405" s="69">
        <f t="shared" si="56"/>
        <v>1052.2364385719713</v>
      </c>
      <c r="E405" s="203" t="e">
        <f t="shared" si="58"/>
        <v>#VALUE!</v>
      </c>
      <c r="F405" s="435" t="e">
        <f t="shared" si="59"/>
        <v>#VALUE!</v>
      </c>
      <c r="G405" s="437" t="e">
        <f t="shared" si="66"/>
        <v>#VALUE!</v>
      </c>
      <c r="H405" s="353" t="e">
        <f t="shared" si="60"/>
        <v>#VALUE!</v>
      </c>
      <c r="I405" s="353" t="e">
        <f t="shared" si="61"/>
        <v>#VALUE!</v>
      </c>
      <c r="J405" s="353" t="e">
        <f t="shared" si="62"/>
        <v>#VALUE!</v>
      </c>
      <c r="K405" s="353" t="e">
        <f t="shared" si="63"/>
        <v>#VALUE!</v>
      </c>
      <c r="L405" s="36" t="e">
        <f t="shared" si="64"/>
        <v>#VALUE!</v>
      </c>
      <c r="M405" s="36" t="e">
        <f t="shared" si="65"/>
        <v>#VALUE!</v>
      </c>
    </row>
    <row r="406" spans="2:13" x14ac:dyDescent="0.25">
      <c r="B406" s="200">
        <f t="shared" si="57"/>
        <v>1007.9372845080915</v>
      </c>
      <c r="C406" s="95">
        <f t="shared" si="55"/>
        <v>0.93</v>
      </c>
      <c r="D406" s="69">
        <f t="shared" si="56"/>
        <v>1083.8035317291306</v>
      </c>
      <c r="E406" s="203" t="e">
        <f t="shared" si="58"/>
        <v>#VALUE!</v>
      </c>
      <c r="F406" s="435" t="e">
        <f t="shared" si="59"/>
        <v>#VALUE!</v>
      </c>
      <c r="G406" s="437" t="e">
        <f t="shared" si="66"/>
        <v>#VALUE!</v>
      </c>
      <c r="H406" s="353" t="e">
        <f t="shared" si="60"/>
        <v>#VALUE!</v>
      </c>
      <c r="I406" s="353" t="e">
        <f t="shared" si="61"/>
        <v>#VALUE!</v>
      </c>
      <c r="J406" s="353" t="e">
        <f t="shared" si="62"/>
        <v>#VALUE!</v>
      </c>
      <c r="K406" s="353" t="e">
        <f t="shared" si="63"/>
        <v>#VALUE!</v>
      </c>
      <c r="L406" s="36" t="e">
        <f t="shared" si="64"/>
        <v>#VALUE!</v>
      </c>
      <c r="M406" s="36" t="e">
        <f t="shared" si="65"/>
        <v>#VALUE!</v>
      </c>
    </row>
    <row r="407" spans="2:13" x14ac:dyDescent="0.25">
      <c r="B407" s="200">
        <f t="shared" si="57"/>
        <v>1038.1754030433342</v>
      </c>
      <c r="C407" s="95">
        <f t="shared" si="55"/>
        <v>0.93</v>
      </c>
      <c r="D407" s="69">
        <f t="shared" si="56"/>
        <v>1116.3176376810045</v>
      </c>
      <c r="E407" s="203" t="e">
        <f t="shared" si="58"/>
        <v>#VALUE!</v>
      </c>
      <c r="F407" s="435" t="e">
        <f t="shared" si="59"/>
        <v>#VALUE!</v>
      </c>
      <c r="G407" s="437" t="e">
        <f t="shared" si="66"/>
        <v>#VALUE!</v>
      </c>
      <c r="H407" s="353" t="e">
        <f t="shared" si="60"/>
        <v>#VALUE!</v>
      </c>
      <c r="I407" s="353" t="e">
        <f t="shared" si="61"/>
        <v>#VALUE!</v>
      </c>
      <c r="J407" s="353" t="e">
        <f t="shared" si="62"/>
        <v>#VALUE!</v>
      </c>
      <c r="K407" s="353" t="e">
        <f t="shared" si="63"/>
        <v>#VALUE!</v>
      </c>
      <c r="L407" s="36" t="e">
        <f t="shared" si="64"/>
        <v>#VALUE!</v>
      </c>
      <c r="M407" s="36" t="e">
        <f t="shared" si="65"/>
        <v>#VALUE!</v>
      </c>
    </row>
    <row r="408" spans="2:13" x14ac:dyDescent="0.25">
      <c r="B408" s="200">
        <f t="shared" si="57"/>
        <v>1069.3206651346343</v>
      </c>
      <c r="C408" s="95">
        <f t="shared" si="55"/>
        <v>0.93</v>
      </c>
      <c r="D408" s="69">
        <f t="shared" si="56"/>
        <v>1149.8071668114346</v>
      </c>
      <c r="E408" s="203" t="e">
        <f t="shared" si="58"/>
        <v>#VALUE!</v>
      </c>
      <c r="F408" s="435" t="e">
        <f t="shared" si="59"/>
        <v>#VALUE!</v>
      </c>
      <c r="G408" s="437" t="e">
        <f t="shared" si="66"/>
        <v>#VALUE!</v>
      </c>
      <c r="H408" s="353" t="e">
        <f t="shared" si="60"/>
        <v>#VALUE!</v>
      </c>
      <c r="I408" s="353" t="e">
        <f t="shared" si="61"/>
        <v>#VALUE!</v>
      </c>
      <c r="J408" s="353" t="e">
        <f t="shared" si="62"/>
        <v>#VALUE!</v>
      </c>
      <c r="K408" s="353" t="e">
        <f t="shared" si="63"/>
        <v>#VALUE!</v>
      </c>
      <c r="L408" s="36" t="e">
        <f t="shared" si="64"/>
        <v>#VALUE!</v>
      </c>
      <c r="M408" s="36" t="e">
        <f t="shared" si="65"/>
        <v>#VALUE!</v>
      </c>
    </row>
    <row r="409" spans="2:13" x14ac:dyDescent="0.25">
      <c r="B409" s="200">
        <f t="shared" si="57"/>
        <v>1101.4002850886729</v>
      </c>
      <c r="C409" s="95">
        <f t="shared" si="55"/>
        <v>0.94</v>
      </c>
      <c r="D409" s="69">
        <f t="shared" si="56"/>
        <v>1171.7024309453968</v>
      </c>
      <c r="E409" s="203" t="e">
        <f t="shared" si="58"/>
        <v>#VALUE!</v>
      </c>
      <c r="F409" s="435" t="e">
        <f t="shared" si="59"/>
        <v>#VALUE!</v>
      </c>
      <c r="G409" s="437" t="e">
        <f t="shared" si="66"/>
        <v>#VALUE!</v>
      </c>
      <c r="H409" s="353" t="e">
        <f t="shared" si="60"/>
        <v>#VALUE!</v>
      </c>
      <c r="I409" s="353" t="e">
        <f t="shared" si="61"/>
        <v>#VALUE!</v>
      </c>
      <c r="J409" s="353" t="e">
        <f t="shared" si="62"/>
        <v>#VALUE!</v>
      </c>
      <c r="K409" s="353" t="e">
        <f t="shared" si="63"/>
        <v>#VALUE!</v>
      </c>
      <c r="L409" s="36" t="e">
        <f t="shared" si="64"/>
        <v>#VALUE!</v>
      </c>
      <c r="M409" s="36" t="e">
        <f t="shared" si="65"/>
        <v>#VALUE!</v>
      </c>
    </row>
    <row r="410" spans="2:13" x14ac:dyDescent="0.25">
      <c r="B410" s="200">
        <f t="shared" si="57"/>
        <v>1134.4422936413332</v>
      </c>
      <c r="C410" s="95">
        <f t="shared" si="55"/>
        <v>0.94</v>
      </c>
      <c r="D410" s="69">
        <f t="shared" si="56"/>
        <v>1206.8535038737589</v>
      </c>
      <c r="E410" s="203" t="e">
        <f t="shared" si="58"/>
        <v>#VALUE!</v>
      </c>
      <c r="F410" s="435" t="e">
        <f t="shared" si="59"/>
        <v>#VALUE!</v>
      </c>
      <c r="G410" s="437" t="e">
        <f t="shared" si="66"/>
        <v>#VALUE!</v>
      </c>
      <c r="H410" s="353" t="e">
        <f t="shared" si="60"/>
        <v>#VALUE!</v>
      </c>
      <c r="I410" s="353" t="e">
        <f t="shared" si="61"/>
        <v>#VALUE!</v>
      </c>
      <c r="J410" s="353" t="e">
        <f t="shared" si="62"/>
        <v>#VALUE!</v>
      </c>
      <c r="K410" s="353" t="e">
        <f t="shared" si="63"/>
        <v>#VALUE!</v>
      </c>
      <c r="L410" s="36" t="e">
        <f t="shared" si="64"/>
        <v>#VALUE!</v>
      </c>
      <c r="M410" s="36" t="e">
        <f t="shared" si="65"/>
        <v>#VALUE!</v>
      </c>
    </row>
    <row r="411" spans="2:13" x14ac:dyDescent="0.25">
      <c r="B411" s="200">
        <f t="shared" si="57"/>
        <v>1168.4755624505733</v>
      </c>
      <c r="C411" s="95">
        <f t="shared" si="55"/>
        <v>0.94</v>
      </c>
      <c r="D411" s="69">
        <f t="shared" si="56"/>
        <v>1243.0591089899717</v>
      </c>
      <c r="E411" s="203" t="e">
        <f t="shared" si="58"/>
        <v>#VALUE!</v>
      </c>
      <c r="F411" s="435" t="e">
        <f t="shared" si="59"/>
        <v>#VALUE!</v>
      </c>
      <c r="G411" s="437" t="e">
        <f t="shared" si="66"/>
        <v>#VALUE!</v>
      </c>
      <c r="H411" s="353" t="e">
        <f t="shared" si="60"/>
        <v>#VALUE!</v>
      </c>
      <c r="I411" s="353" t="e">
        <f t="shared" si="61"/>
        <v>#VALUE!</v>
      </c>
      <c r="J411" s="353" t="e">
        <f t="shared" si="62"/>
        <v>#VALUE!</v>
      </c>
      <c r="K411" s="353" t="e">
        <f t="shared" si="63"/>
        <v>#VALUE!</v>
      </c>
      <c r="L411" s="36" t="e">
        <f t="shared" si="64"/>
        <v>#VALUE!</v>
      </c>
      <c r="M411" s="36" t="e">
        <f t="shared" si="65"/>
        <v>#VALUE!</v>
      </c>
    </row>
    <row r="412" spans="2:13" x14ac:dyDescent="0.25">
      <c r="B412" s="200">
        <f t="shared" si="57"/>
        <v>1203.5298293240903</v>
      </c>
      <c r="C412" s="95">
        <f t="shared" si="55"/>
        <v>0.94</v>
      </c>
      <c r="D412" s="69">
        <f t="shared" si="56"/>
        <v>1280.3508822596707</v>
      </c>
      <c r="E412" s="203" t="e">
        <f t="shared" si="58"/>
        <v>#VALUE!</v>
      </c>
      <c r="F412" s="435" t="e">
        <f t="shared" si="59"/>
        <v>#VALUE!</v>
      </c>
      <c r="G412" s="437" t="e">
        <f t="shared" si="66"/>
        <v>#VALUE!</v>
      </c>
      <c r="H412" s="353" t="e">
        <f t="shared" si="60"/>
        <v>#VALUE!</v>
      </c>
      <c r="I412" s="353" t="e">
        <f t="shared" si="61"/>
        <v>#VALUE!</v>
      </c>
      <c r="J412" s="353" t="e">
        <f t="shared" si="62"/>
        <v>#VALUE!</v>
      </c>
      <c r="K412" s="353" t="e">
        <f t="shared" si="63"/>
        <v>#VALUE!</v>
      </c>
      <c r="L412" s="36" t="e">
        <f t="shared" si="64"/>
        <v>#VALUE!</v>
      </c>
      <c r="M412" s="36" t="e">
        <f t="shared" si="65"/>
        <v>#VALUE!</v>
      </c>
    </row>
    <row r="413" spans="2:13" x14ac:dyDescent="0.25">
      <c r="B413" s="200">
        <f t="shared" si="57"/>
        <v>1239.6357242038132</v>
      </c>
      <c r="C413" s="95">
        <f t="shared" si="55"/>
        <v>0.94</v>
      </c>
      <c r="D413" s="69">
        <f t="shared" si="56"/>
        <v>1318.761408727461</v>
      </c>
      <c r="E413" s="203" t="e">
        <f t="shared" si="58"/>
        <v>#VALUE!</v>
      </c>
      <c r="F413" s="435" t="e">
        <f t="shared" si="59"/>
        <v>#VALUE!</v>
      </c>
      <c r="G413" s="437" t="e">
        <f t="shared" si="66"/>
        <v>#VALUE!</v>
      </c>
      <c r="H413" s="353" t="e">
        <f t="shared" si="60"/>
        <v>#VALUE!</v>
      </c>
      <c r="I413" s="353" t="e">
        <f t="shared" si="61"/>
        <v>#VALUE!</v>
      </c>
      <c r="J413" s="353" t="e">
        <f t="shared" si="62"/>
        <v>#VALUE!</v>
      </c>
      <c r="K413" s="353" t="e">
        <f t="shared" si="63"/>
        <v>#VALUE!</v>
      </c>
      <c r="L413" s="36" t="e">
        <f t="shared" si="64"/>
        <v>#VALUE!</v>
      </c>
      <c r="M413" s="36" t="e">
        <f t="shared" si="65"/>
        <v>#VALUE!</v>
      </c>
    </row>
    <row r="414" spans="2:13" x14ac:dyDescent="0.25">
      <c r="B414" s="200">
        <f t="shared" si="57"/>
        <v>1276.8247959299274</v>
      </c>
      <c r="C414" s="95">
        <f t="shared" si="55"/>
        <v>0.94</v>
      </c>
      <c r="D414" s="69">
        <f t="shared" si="56"/>
        <v>1358.3242509892846</v>
      </c>
      <c r="E414" s="203" t="e">
        <f t="shared" si="58"/>
        <v>#VALUE!</v>
      </c>
      <c r="F414" s="435" t="e">
        <f t="shared" si="59"/>
        <v>#VALUE!</v>
      </c>
      <c r="G414" s="437" t="e">
        <f t="shared" si="66"/>
        <v>#VALUE!</v>
      </c>
      <c r="H414" s="353" t="e">
        <f t="shared" si="60"/>
        <v>#VALUE!</v>
      </c>
      <c r="I414" s="353" t="e">
        <f t="shared" si="61"/>
        <v>#VALUE!</v>
      </c>
      <c r="J414" s="353" t="e">
        <f t="shared" si="62"/>
        <v>#VALUE!</v>
      </c>
      <c r="K414" s="353" t="e">
        <f t="shared" si="63"/>
        <v>#VALUE!</v>
      </c>
      <c r="L414" s="36" t="e">
        <f t="shared" si="64"/>
        <v>#VALUE!</v>
      </c>
      <c r="M414" s="36" t="e">
        <f t="shared" si="65"/>
        <v>#VALUE!</v>
      </c>
    </row>
    <row r="415" spans="2:13" x14ac:dyDescent="0.25">
      <c r="B415" s="200">
        <f t="shared" si="57"/>
        <v>1315.1295398078253</v>
      </c>
      <c r="C415" s="95">
        <f t="shared" si="55"/>
        <v>0.94</v>
      </c>
      <c r="D415" s="69">
        <f t="shared" si="56"/>
        <v>1399.073978518963</v>
      </c>
      <c r="E415" s="203" t="e">
        <f t="shared" si="58"/>
        <v>#VALUE!</v>
      </c>
      <c r="F415" s="435" t="e">
        <f t="shared" si="59"/>
        <v>#VALUE!</v>
      </c>
      <c r="G415" s="437" t="e">
        <f t="shared" si="66"/>
        <v>#VALUE!</v>
      </c>
      <c r="H415" s="353" t="e">
        <f t="shared" si="60"/>
        <v>#VALUE!</v>
      </c>
      <c r="I415" s="353" t="e">
        <f t="shared" si="61"/>
        <v>#VALUE!</v>
      </c>
      <c r="J415" s="353" t="e">
        <f t="shared" si="62"/>
        <v>#VALUE!</v>
      </c>
      <c r="K415" s="353" t="e">
        <f t="shared" si="63"/>
        <v>#VALUE!</v>
      </c>
      <c r="L415" s="36" t="e">
        <f t="shared" si="64"/>
        <v>#VALUE!</v>
      </c>
      <c r="M415" s="36" t="e">
        <f t="shared" si="65"/>
        <v>#VALUE!</v>
      </c>
    </row>
    <row r="416" spans="2:13" x14ac:dyDescent="0.25">
      <c r="B416" s="200">
        <f t="shared" si="57"/>
        <v>1354.5834260020602</v>
      </c>
      <c r="C416" s="95">
        <f t="shared" si="55"/>
        <v>0.94</v>
      </c>
      <c r="D416" s="69">
        <f t="shared" si="56"/>
        <v>1441.0461978745323</v>
      </c>
      <c r="E416" s="203" t="e">
        <f t="shared" si="58"/>
        <v>#VALUE!</v>
      </c>
      <c r="F416" s="435" t="e">
        <f t="shared" si="59"/>
        <v>#VALUE!</v>
      </c>
      <c r="G416" s="437" t="e">
        <f t="shared" si="66"/>
        <v>#VALUE!</v>
      </c>
      <c r="H416" s="353" t="e">
        <f t="shared" si="60"/>
        <v>#VALUE!</v>
      </c>
      <c r="I416" s="353" t="e">
        <f t="shared" si="61"/>
        <v>#VALUE!</v>
      </c>
      <c r="J416" s="353" t="e">
        <f t="shared" si="62"/>
        <v>#VALUE!</v>
      </c>
      <c r="K416" s="353" t="e">
        <f t="shared" si="63"/>
        <v>#VALUE!</v>
      </c>
      <c r="L416" s="36" t="e">
        <f t="shared" si="64"/>
        <v>#VALUE!</v>
      </c>
      <c r="M416" s="36" t="e">
        <f t="shared" si="65"/>
        <v>#VALUE!</v>
      </c>
    </row>
    <row r="417" spans="2:13" x14ac:dyDescent="0.25">
      <c r="B417" s="200">
        <f t="shared" si="57"/>
        <v>1395.2209287821215</v>
      </c>
      <c r="C417" s="95">
        <f t="shared" si="55"/>
        <v>0.94</v>
      </c>
      <c r="D417" s="69">
        <f t="shared" si="56"/>
        <v>1484.2775838107677</v>
      </c>
      <c r="E417" s="203" t="e">
        <f t="shared" si="58"/>
        <v>#VALUE!</v>
      </c>
      <c r="F417" s="435" t="e">
        <f t="shared" si="59"/>
        <v>#VALUE!</v>
      </c>
      <c r="G417" s="437" t="e">
        <f t="shared" si="66"/>
        <v>#VALUE!</v>
      </c>
      <c r="H417" s="353" t="e">
        <f t="shared" si="60"/>
        <v>#VALUE!</v>
      </c>
      <c r="I417" s="353" t="e">
        <f t="shared" si="61"/>
        <v>#VALUE!</v>
      </c>
      <c r="J417" s="353" t="e">
        <f t="shared" si="62"/>
        <v>#VALUE!</v>
      </c>
      <c r="K417" s="353" t="e">
        <f t="shared" si="63"/>
        <v>#VALUE!</v>
      </c>
      <c r="L417" s="36" t="e">
        <f t="shared" si="64"/>
        <v>#VALUE!</v>
      </c>
      <c r="M417" s="36" t="e">
        <f t="shared" si="65"/>
        <v>#VALUE!</v>
      </c>
    </row>
    <row r="418" spans="2:13" x14ac:dyDescent="0.25">
      <c r="B418" s="200">
        <f t="shared" si="57"/>
        <v>1437.0775566455852</v>
      </c>
      <c r="C418" s="95">
        <f t="shared" si="55"/>
        <v>0.94</v>
      </c>
      <c r="D418" s="69">
        <f t="shared" si="56"/>
        <v>1528.8059113250908</v>
      </c>
      <c r="E418" s="203" t="e">
        <f t="shared" si="58"/>
        <v>#VALUE!</v>
      </c>
      <c r="F418" s="435" t="e">
        <f t="shared" si="59"/>
        <v>#VALUE!</v>
      </c>
      <c r="G418" s="437" t="e">
        <f t="shared" si="66"/>
        <v>#VALUE!</v>
      </c>
      <c r="H418" s="353" t="e">
        <f t="shared" si="60"/>
        <v>#VALUE!</v>
      </c>
      <c r="I418" s="353" t="e">
        <f t="shared" si="61"/>
        <v>#VALUE!</v>
      </c>
      <c r="J418" s="353" t="e">
        <f t="shared" si="62"/>
        <v>#VALUE!</v>
      </c>
      <c r="K418" s="353" t="e">
        <f t="shared" si="63"/>
        <v>#VALUE!</v>
      </c>
      <c r="L418" s="36" t="e">
        <f t="shared" si="64"/>
        <v>#VALUE!</v>
      </c>
      <c r="M418" s="36" t="e">
        <f t="shared" si="65"/>
        <v>#VALUE!</v>
      </c>
    </row>
    <row r="419" spans="2:13" x14ac:dyDescent="0.25">
      <c r="B419" s="200">
        <f t="shared" si="57"/>
        <v>1480.1898833449529</v>
      </c>
      <c r="C419" s="95">
        <f t="shared" si="55"/>
        <v>0.94</v>
      </c>
      <c r="D419" s="69">
        <f t="shared" si="56"/>
        <v>1574.6700886648437</v>
      </c>
      <c r="E419" s="203" t="e">
        <f t="shared" si="58"/>
        <v>#VALUE!</v>
      </c>
      <c r="F419" s="435" t="e">
        <f t="shared" si="59"/>
        <v>#VALUE!</v>
      </c>
      <c r="G419" s="437" t="e">
        <f t="shared" si="66"/>
        <v>#VALUE!</v>
      </c>
      <c r="H419" s="353" t="e">
        <f t="shared" si="60"/>
        <v>#VALUE!</v>
      </c>
      <c r="I419" s="353" t="e">
        <f t="shared" si="61"/>
        <v>#VALUE!</v>
      </c>
      <c r="J419" s="353" t="e">
        <f t="shared" si="62"/>
        <v>#VALUE!</v>
      </c>
      <c r="K419" s="353" t="e">
        <f t="shared" si="63"/>
        <v>#VALUE!</v>
      </c>
      <c r="L419" s="36" t="e">
        <f t="shared" si="64"/>
        <v>#VALUE!</v>
      </c>
      <c r="M419" s="36" t="e">
        <f t="shared" si="65"/>
        <v>#VALUE!</v>
      </c>
    </row>
    <row r="420" spans="2:13" x14ac:dyDescent="0.25">
      <c r="B420" s="200">
        <f t="shared" si="57"/>
        <v>1524.5955798453015</v>
      </c>
      <c r="C420" s="95">
        <f t="shared" si="55"/>
        <v>0.95</v>
      </c>
      <c r="D420" s="69">
        <f t="shared" si="56"/>
        <v>1604.8374524687385</v>
      </c>
      <c r="E420" s="203" t="e">
        <f t="shared" si="58"/>
        <v>#VALUE!</v>
      </c>
      <c r="F420" s="435" t="e">
        <f t="shared" si="59"/>
        <v>#VALUE!</v>
      </c>
      <c r="G420" s="437" t="e">
        <f t="shared" si="66"/>
        <v>#VALUE!</v>
      </c>
      <c r="H420" s="353" t="e">
        <f t="shared" si="60"/>
        <v>#VALUE!</v>
      </c>
      <c r="I420" s="353" t="e">
        <f>IF(H420=$E$317,$E$318,IF(H420=$E$318,$E$319,IF(H420=$E$319,$E$320,IF(H420=$E$320,$E$321,$E$321))))</f>
        <v>#VALUE!</v>
      </c>
      <c r="J420" s="353" t="e">
        <f t="shared" si="62"/>
        <v>#VALUE!</v>
      </c>
      <c r="K420" s="353" t="e">
        <f>IF(J420=$F$317,$F$318,IF(J420=$F$318,$F$319,IF(J420=$F$319,$F$320,IF(J420=$F$320,$F$321,$F$321))))</f>
        <v>#VALUE!</v>
      </c>
      <c r="L420" s="36" t="e">
        <f>I420+(J420-E420)*((H420-I420)/(K420-J420))</f>
        <v>#VALUE!</v>
      </c>
      <c r="M420" s="36" t="e">
        <f t="shared" si="65"/>
        <v>#VALUE!</v>
      </c>
    </row>
    <row r="421" spans="2:13" x14ac:dyDescent="0.25">
      <c r="B421" s="200">
        <f t="shared" si="57"/>
        <v>1570.3334472406605</v>
      </c>
      <c r="C421" s="95">
        <f t="shared" si="55"/>
        <v>0.95</v>
      </c>
      <c r="D421" s="69">
        <f t="shared" si="56"/>
        <v>1652.9825760428005</v>
      </c>
      <c r="E421" s="203" t="e">
        <f t="shared" si="58"/>
        <v>#VALUE!</v>
      </c>
      <c r="F421" s="435" t="e">
        <f t="shared" si="59"/>
        <v>#VALUE!</v>
      </c>
      <c r="G421" s="437" t="e">
        <f t="shared" si="66"/>
        <v>#VALUE!</v>
      </c>
      <c r="H421" s="353" t="e">
        <f t="shared" si="60"/>
        <v>#VALUE!</v>
      </c>
      <c r="I421" s="353" t="e">
        <f t="shared" ref="I421:I426" si="67">IF(H421=$E$317,$E$318,IF(H421=$E$318,$E$319,IF(H421=$E$319,$E$320,IF(H421=$E$320,$E$321,$E$321))))</f>
        <v>#VALUE!</v>
      </c>
      <c r="J421" s="353" t="e">
        <f t="shared" si="62"/>
        <v>#VALUE!</v>
      </c>
      <c r="K421" s="353" t="e">
        <f t="shared" si="63"/>
        <v>#VALUE!</v>
      </c>
      <c r="L421" s="36" t="e">
        <f t="shared" si="64"/>
        <v>#VALUE!</v>
      </c>
      <c r="M421" s="36" t="e">
        <f t="shared" si="65"/>
        <v>#VALUE!</v>
      </c>
    </row>
    <row r="422" spans="2:13" x14ac:dyDescent="0.25">
      <c r="B422" s="200">
        <f t="shared" si="57"/>
        <v>1617.4434506578802</v>
      </c>
      <c r="C422" s="95">
        <f t="shared" si="55"/>
        <v>0.95</v>
      </c>
      <c r="D422" s="69">
        <f t="shared" si="56"/>
        <v>1702.5720533240847</v>
      </c>
      <c r="E422" s="203" t="e">
        <f t="shared" si="58"/>
        <v>#VALUE!</v>
      </c>
      <c r="F422" s="435" t="e">
        <f t="shared" si="59"/>
        <v>#VALUE!</v>
      </c>
      <c r="G422" s="437" t="e">
        <f t="shared" si="66"/>
        <v>#VALUE!</v>
      </c>
      <c r="H422" s="353" t="e">
        <f t="shared" si="60"/>
        <v>#VALUE!</v>
      </c>
      <c r="I422" s="353" t="e">
        <f t="shared" si="67"/>
        <v>#VALUE!</v>
      </c>
      <c r="J422" s="353" t="e">
        <f t="shared" si="62"/>
        <v>#VALUE!</v>
      </c>
      <c r="K422" s="353" t="e">
        <f t="shared" si="63"/>
        <v>#VALUE!</v>
      </c>
      <c r="L422" s="36" t="e">
        <f t="shared" si="64"/>
        <v>#VALUE!</v>
      </c>
      <c r="M422" s="36" t="e">
        <f t="shared" si="65"/>
        <v>#VALUE!</v>
      </c>
    </row>
    <row r="423" spans="2:13" x14ac:dyDescent="0.25">
      <c r="B423" s="200">
        <f t="shared" si="57"/>
        <v>1665.9667541776164</v>
      </c>
      <c r="C423" s="95">
        <f t="shared" si="55"/>
        <v>0.95</v>
      </c>
      <c r="D423" s="69">
        <f t="shared" si="56"/>
        <v>1753.6492149238068</v>
      </c>
      <c r="E423" s="203" t="e">
        <f t="shared" si="58"/>
        <v>#VALUE!</v>
      </c>
      <c r="F423" s="435" t="e">
        <f t="shared" si="59"/>
        <v>#VALUE!</v>
      </c>
      <c r="G423" s="437" t="e">
        <f t="shared" si="66"/>
        <v>#VALUE!</v>
      </c>
      <c r="H423" s="353" t="e">
        <f t="shared" si="60"/>
        <v>#VALUE!</v>
      </c>
      <c r="I423" s="353" t="e">
        <f t="shared" si="67"/>
        <v>#VALUE!</v>
      </c>
      <c r="J423" s="353" t="e">
        <f t="shared" si="62"/>
        <v>#VALUE!</v>
      </c>
      <c r="K423" s="353" t="e">
        <f t="shared" si="63"/>
        <v>#VALUE!</v>
      </c>
      <c r="L423" s="36" t="e">
        <f t="shared" si="64"/>
        <v>#VALUE!</v>
      </c>
      <c r="M423" s="36" t="e">
        <f t="shared" si="65"/>
        <v>#VALUE!</v>
      </c>
    </row>
    <row r="424" spans="2:13" x14ac:dyDescent="0.25">
      <c r="B424" s="200">
        <f t="shared" si="57"/>
        <v>1715.9457568029454</v>
      </c>
      <c r="C424" s="95">
        <f t="shared" si="55"/>
        <v>0.95</v>
      </c>
      <c r="D424" s="69">
        <f t="shared" si="56"/>
        <v>1806.2586913715215</v>
      </c>
      <c r="E424" s="203" t="e">
        <f t="shared" si="58"/>
        <v>#VALUE!</v>
      </c>
      <c r="F424" s="435" t="e">
        <f t="shared" si="59"/>
        <v>#VALUE!</v>
      </c>
      <c r="G424" s="437" t="e">
        <f t="shared" si="66"/>
        <v>#VALUE!</v>
      </c>
      <c r="H424" s="353" t="e">
        <f t="shared" si="60"/>
        <v>#VALUE!</v>
      </c>
      <c r="I424" s="353" t="e">
        <f t="shared" si="67"/>
        <v>#VALUE!</v>
      </c>
      <c r="J424" s="353" t="e">
        <f t="shared" si="62"/>
        <v>#VALUE!</v>
      </c>
      <c r="K424" s="353" t="e">
        <f t="shared" si="63"/>
        <v>#VALUE!</v>
      </c>
      <c r="L424" s="36" t="e">
        <f t="shared" si="64"/>
        <v>#VALUE!</v>
      </c>
      <c r="M424" s="36" t="e">
        <f t="shared" si="65"/>
        <v>#VALUE!</v>
      </c>
    </row>
    <row r="425" spans="2:13" x14ac:dyDescent="0.25">
      <c r="B425" s="200">
        <f t="shared" si="57"/>
        <v>1767.4241295070333</v>
      </c>
      <c r="C425" s="95">
        <f t="shared" si="55"/>
        <v>0.95</v>
      </c>
      <c r="D425" s="69">
        <f t="shared" si="56"/>
        <v>1860.4464521126667</v>
      </c>
      <c r="E425" s="203" t="e">
        <f t="shared" si="58"/>
        <v>#VALUE!</v>
      </c>
      <c r="F425" s="435" t="e">
        <f t="shared" si="59"/>
        <v>#VALUE!</v>
      </c>
      <c r="G425" s="437" t="e">
        <f t="shared" si="66"/>
        <v>#VALUE!</v>
      </c>
      <c r="H425" s="353" t="e">
        <f t="shared" si="60"/>
        <v>#VALUE!</v>
      </c>
      <c r="I425" s="353" t="e">
        <f t="shared" si="67"/>
        <v>#VALUE!</v>
      </c>
      <c r="J425" s="353" t="e">
        <f t="shared" si="62"/>
        <v>#VALUE!</v>
      </c>
      <c r="K425" s="353" t="e">
        <f t="shared" si="63"/>
        <v>#VALUE!</v>
      </c>
      <c r="L425" s="36" t="e">
        <f t="shared" si="64"/>
        <v>#VALUE!</v>
      </c>
      <c r="M425" s="36" t="e">
        <f t="shared" si="65"/>
        <v>#VALUE!</v>
      </c>
    </row>
    <row r="426" spans="2:13" x14ac:dyDescent="0.25">
      <c r="B426" s="200">
        <f t="shared" si="57"/>
        <v>1820.4468533922445</v>
      </c>
      <c r="C426" s="95">
        <f t="shared" si="55"/>
        <v>0.95</v>
      </c>
      <c r="D426" s="69">
        <f t="shared" si="56"/>
        <v>1916.259845676047</v>
      </c>
      <c r="E426" s="203" t="e">
        <f t="shared" si="58"/>
        <v>#VALUE!</v>
      </c>
      <c r="F426" s="435" t="e">
        <f t="shared" si="59"/>
        <v>#VALUE!</v>
      </c>
      <c r="G426" s="437" t="e">
        <f t="shared" si="66"/>
        <v>#VALUE!</v>
      </c>
      <c r="H426" s="353" t="e">
        <f t="shared" si="60"/>
        <v>#VALUE!</v>
      </c>
      <c r="I426" s="353" t="e">
        <f t="shared" si="67"/>
        <v>#VALUE!</v>
      </c>
      <c r="J426" s="353" t="e">
        <f t="shared" si="62"/>
        <v>#VALUE!</v>
      </c>
      <c r="K426" s="353" t="e">
        <f t="shared" si="63"/>
        <v>#VALUE!</v>
      </c>
      <c r="L426" s="36" t="e">
        <f t="shared" si="64"/>
        <v>#VALUE!</v>
      </c>
      <c r="M426" s="36" t="e">
        <f t="shared" si="65"/>
        <v>#VALUE!</v>
      </c>
    </row>
    <row r="427" spans="2:13" x14ac:dyDescent="0.25">
      <c r="B427" s="200">
        <f>J108/12</f>
        <v>1875.060258994012</v>
      </c>
      <c r="C427" s="95">
        <f>IF(B427&lt;=100,$B$125,IF(AND(B427&gt;100,B427&lt;=200),$B$126,IF(AND(B427&gt;200,B427&lt;=400),$B$127,IF(AND(B427&gt;400,B427&lt;=500),$B$128,IF(AND(B427&gt;500,B427&lt;=600),$B$129,IF(AND(B427&gt;600,B427&lt;=700),$B$130,IF(AND(B427&gt;700,B427&lt;=800),$B$131,IF(AND(B427&gt;800,B427&lt;=900),$B$132,IF(AND(B427&gt;900,B427&lt;=1000),$B$133,IF(AND(B427&gt;1000,B427&lt;=1100),$B$134,IF(AND(B427&gt;1100,B427&lt;=1200),$B$135,IF(AND(B427&gt;1200,B427&lt;=1300),$B$136,IF(AND(B427&gt;1300,B427&lt;=1400),$B$137,IF(AND(B427&gt;1400,B427&lt;=1500),$B$138,IF(AND(B427&gt;1500,B427&lt;=1600),$B$139,IF(AND(B427&gt;1600,B427&lt;=1700),$B$140,IF(AND(B427&gt;1700,B427&lt;=1800),$B$141,IF(AND(B427&gt;1800,B427&lt;=1900),$B$142,IF(B427&gt;1900,$B$143)))))))))))))))))))</f>
        <v>0.95</v>
      </c>
      <c r="D427" s="69">
        <f>B427/C427</f>
        <v>1973.7476410463285</v>
      </c>
      <c r="E427" s="203" t="e">
        <f>D427/($G$151*$G$150*$G$152*$G$156*$G$157)</f>
        <v>#VALUE!</v>
      </c>
      <c r="F427" s="435" t="e">
        <f>IF(E427&lt;=$F$317,$C$297,IF(AND(E427&gt;$F$317,E427&lt;=$F$318),$C$298,IF(AND(E427&gt;$F$318,E427&lt;=$F$319),$C$299,IF(AND(E427&gt;$F$319,E427&lt;=$F$320),$C$300,IF(AND(E427&gt;$F$320,E427&lt;=$F$321),$C$301,IF(E427&gt;$F$321,$C$302))))))</f>
        <v>#VALUE!</v>
      </c>
      <c r="G427" s="437" t="e">
        <f>IF(E427&lt;=$F$297,$E$317,IF(AND(E427&gt;$F$297,E427&lt;=$F$298),$E$318,IF(AND(E427&gt;$F$298,E427&lt;=$F$299),$E$319,IF(AND(E427&gt;$F$299,E427&lt;=$F$300),$E$320,IF(AND(E427&gt;$F$300,E427&lt;=$F$301),$E$321,IF(E427&gt;$F$301,$E$322))))))</f>
        <v>#VALUE!</v>
      </c>
      <c r="H427" s="353" t="e">
        <f>IF(G427&gt;=$E$317,$E$317,IF(AND(G427&lt;$E$317,G427&gt;=$E$318),$E$318,IF(AND(G427&lt;$E$318,G427&gt;=$E$319),$E$319,IF(AND(G427&lt;$E$319,G427&gt;=$E$320),$E$320,IF(AND(G427&lt;$E$320,G427&gt;=$E$321),$E$321,$E$321)))))</f>
        <v>#VALUE!</v>
      </c>
      <c r="I427" s="353" t="e">
        <f>IF(H427=$E$317,$E$318,IF(H427=$E$318,$E$319,IF(H427=$E$319,$E$320,IF(H427=$E$320,$E$321,$E$321))))</f>
        <v>#VALUE!</v>
      </c>
      <c r="J427" s="353" t="e">
        <f>IF(E427&lt;=$F$317,$F$317,IF(AND(E427&gt;$F$317,E427&lt;=$F$318),$F$318,IF(AND(E427&gt;$F$318,E427&lt;=$F$319),$F$319,IF(AND(E427&gt;$F$319,E427&lt;=$F$320),$F$320,IF(AND(E427&gt;$F$320,E427&lt;=$F$321),$F$321,$F$321)))))</f>
        <v>#VALUE!</v>
      </c>
      <c r="K427" s="353" t="e">
        <f>IF(J427=$F$317,$F$318,IF(J427=$F$318,$F$319,IF(J427=$F$319,$F$320,IF(J427=$F$320,$F$321,$F$321))))</f>
        <v>#VALUE!</v>
      </c>
      <c r="L427" s="36" t="e">
        <f>I427+(J427-E427)*((H427-I427)/(K427-J427))</f>
        <v>#VALUE!</v>
      </c>
      <c r="M427" s="36" t="e">
        <f>IF(AND(H427=I427,J427=K427),$E$321,L427)</f>
        <v>#VALUE!</v>
      </c>
    </row>
    <row r="428" spans="2:13" x14ac:dyDescent="0.25">
      <c r="B428" s="200">
        <f>J109/12</f>
        <v>1931.312066763832</v>
      </c>
      <c r="C428" s="95">
        <f>IF(B428&lt;=100,$B$125,IF(AND(B428&gt;100,B428&lt;=200),$B$126,IF(AND(B428&gt;200,B428&lt;=400),$B$127,IF(AND(B428&gt;400,B428&lt;=500),$B$128,IF(AND(B428&gt;500,B428&lt;=600),$B$129,IF(AND(B428&gt;600,B428&lt;=700),$B$130,IF(AND(B428&gt;700,B428&lt;=800),$B$131,IF(AND(B428&gt;800,B428&lt;=900),$B$132,IF(AND(B428&gt;900,B428&lt;=1000),$B$133,IF(AND(B428&gt;1000,B428&lt;=1100),$B$134,IF(AND(B428&gt;1100,B428&lt;=1200),$B$135,IF(AND(B428&gt;1200,B428&lt;=1300),$B$136,IF(AND(B428&gt;1300,B428&lt;=1400),$B$137,IF(AND(B428&gt;1400,B428&lt;=1500),$B$138,IF(AND(B428&gt;1500,B428&lt;=1600),$B$139,IF(AND(B428&gt;1600,B428&lt;=1700),$B$140,IF(AND(B428&gt;1700,B428&lt;=1800),$B$141,IF(AND(B428&gt;1800,B428&lt;=1900),$B$142,IF(B428&gt;1900,$B$143)))))))))))))))))))</f>
        <v>0.96</v>
      </c>
      <c r="D428" s="69">
        <f>B428/C428</f>
        <v>2011.7834028789919</v>
      </c>
      <c r="E428" s="203" t="e">
        <f>D428/($G$151*$G$150*$G$152*$G$156*$G$157)</f>
        <v>#VALUE!</v>
      </c>
      <c r="F428" s="435" t="e">
        <f>IF(E428&lt;=$F$317,$C$297,IF(AND(E428&gt;$F$317,E428&lt;=$F$318),$C$298,IF(AND(E428&gt;$F$318,E428&lt;=$F$319),$C$299,IF(AND(E428&gt;$F$319,E428&lt;=$F$320),$C$300,IF(AND(E428&gt;$F$320,E428&lt;=$F$321),$C$301,IF(E428&gt;$F$321,$C$302))))))</f>
        <v>#VALUE!</v>
      </c>
      <c r="G428" s="437" t="e">
        <f>IF(E428&lt;=$F$297,$E$317,IF(AND(E428&gt;$F$297,E428&lt;=$F$298),$E$318,IF(AND(E428&gt;$F$298,E428&lt;=$F$299),$E$319,IF(AND(E428&gt;$F$299,E428&lt;=$F$300),$E$320,IF(AND(E428&gt;$F$300,E428&lt;=$F$301),$E$321,IF(E428&gt;$F$301,$E$322))))))</f>
        <v>#VALUE!</v>
      </c>
      <c r="H428" s="353" t="e">
        <f>IF(G428&gt;=$E$317,$E$317,IF(AND(G428&lt;$E$317,G428&gt;=$E$318),$E$318,IF(AND(G428&lt;$E$318,G428&gt;=$E$319),$E$319,IF(AND(G428&lt;$E$319,G428&gt;=$E$320),$E$320,IF(AND(G428&lt;$E$320,G428&gt;=$E$321),$E$321,$E$321)))))</f>
        <v>#VALUE!</v>
      </c>
      <c r="I428" s="353" t="e">
        <f>IF(H428=$E$317,$E$318,IF(H428=$E$318,$E$319,IF(H428=$E$319,$E$320,IF(H428=$E$320,$E$321,$E$321))))</f>
        <v>#VALUE!</v>
      </c>
      <c r="J428" s="353" t="e">
        <f>IF(E428&lt;=$F$317,$F$317,IF(AND(E428&gt;$F$317,E428&lt;=$F$318),$F$318,IF(AND(E428&gt;$F$318,E428&lt;=$F$319),$F$319,IF(AND(E428&gt;$F$319,E428&lt;=$F$320),$F$320,IF(AND(E428&gt;$F$320,E428&lt;=$F$321),$F$321,$F$321)))))</f>
        <v>#VALUE!</v>
      </c>
      <c r="K428" s="353" t="e">
        <f>IF(J428=$F$317,$F$318,IF(J428=$F$318,$F$319,IF(J428=$F$319,$F$320,IF(J428=$F$320,$F$321,$F$321))))</f>
        <v>#VALUE!</v>
      </c>
      <c r="L428" s="36" t="e">
        <f>I428+(J428-E428)*((H428-I428)/(K428-J428))</f>
        <v>#VALUE!</v>
      </c>
      <c r="M428" s="36" t="e">
        <f>IF(AND(H428=I428,J428=K428),$E$321,L428)</f>
        <v>#VALUE!</v>
      </c>
    </row>
  </sheetData>
  <mergeCells count="39">
    <mergeCell ref="C295:C296"/>
    <mergeCell ref="E295:F295"/>
    <mergeCell ref="C305:C306"/>
    <mergeCell ref="E305:F305"/>
    <mergeCell ref="C315:C316"/>
    <mergeCell ref="E315:F315"/>
    <mergeCell ref="D270:F270"/>
    <mergeCell ref="E283:J283"/>
    <mergeCell ref="G284:H284"/>
    <mergeCell ref="I284:J284"/>
    <mergeCell ref="C284:C285"/>
    <mergeCell ref="E284:F284"/>
    <mergeCell ref="B196:B197"/>
    <mergeCell ref="D205:F205"/>
    <mergeCell ref="A250:A251"/>
    <mergeCell ref="B250:B251"/>
    <mergeCell ref="A167:A168"/>
    <mergeCell ref="A169:A175"/>
    <mergeCell ref="A176:A182"/>
    <mergeCell ref="B167:B168"/>
    <mergeCell ref="B185:B186"/>
    <mergeCell ref="A187:A193"/>
    <mergeCell ref="A185:A186"/>
    <mergeCell ref="D238:F238"/>
    <mergeCell ref="B200:B201"/>
    <mergeCell ref="B233:B234"/>
    <mergeCell ref="A358:A364"/>
    <mergeCell ref="A218:A219"/>
    <mergeCell ref="B218:B219"/>
    <mergeCell ref="A220:A226"/>
    <mergeCell ref="B229:B230"/>
    <mergeCell ref="A338:A339"/>
    <mergeCell ref="A340:A346"/>
    <mergeCell ref="A347:A353"/>
    <mergeCell ref="A356:A357"/>
    <mergeCell ref="B306:B307"/>
    <mergeCell ref="A252:A258"/>
    <mergeCell ref="B261:B262"/>
    <mergeCell ref="B265:B266"/>
  </mergeCells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6"/>
  <sheetViews>
    <sheetView topLeftCell="A370" workbookViewId="0">
      <selection activeCell="K108" sqref="K108:M109"/>
    </sheetView>
  </sheetViews>
  <sheetFormatPr baseColWidth="10" defaultRowHeight="15" x14ac:dyDescent="0.25"/>
  <sheetData>
    <row r="1" spans="1:13" x14ac:dyDescent="0.25">
      <c r="A1" s="67" t="s">
        <v>163</v>
      </c>
      <c r="B1" s="67"/>
      <c r="C1" s="67"/>
    </row>
    <row r="2" spans="1:13" x14ac:dyDescent="0.25">
      <c r="A2" s="68" t="s">
        <v>18</v>
      </c>
      <c r="B2" s="68" t="s">
        <v>45</v>
      </c>
      <c r="C2" s="41" t="s">
        <v>46</v>
      </c>
      <c r="D2" s="41" t="s">
        <v>47</v>
      </c>
      <c r="E2" s="41" t="s">
        <v>48</v>
      </c>
      <c r="F2" s="41" t="s">
        <v>49</v>
      </c>
      <c r="G2" s="41" t="s">
        <v>50</v>
      </c>
      <c r="H2" s="41" t="s">
        <v>51</v>
      </c>
      <c r="I2" s="41" t="s">
        <v>52</v>
      </c>
      <c r="J2" s="41" t="s">
        <v>53</v>
      </c>
      <c r="K2" s="105" t="str">
        <f>F291</f>
        <v>NS</v>
      </c>
      <c r="L2" s="105" t="str">
        <f>G291</f>
        <v>VEL</v>
      </c>
    </row>
    <row r="3" spans="1:13" x14ac:dyDescent="0.25">
      <c r="A3" s="41">
        <v>2013</v>
      </c>
      <c r="B3" s="41">
        <v>0</v>
      </c>
      <c r="C3" s="206">
        <f>'2 CARRILES HCM'!C3</f>
        <v>3595.5</v>
      </c>
      <c r="D3" s="206">
        <f>'2 CARRILES HCM'!D3</f>
        <v>243</v>
      </c>
      <c r="E3" s="206">
        <f>'2 CARRILES HCM'!E3</f>
        <v>306</v>
      </c>
      <c r="F3" s="206">
        <f>'2 CARRILES HCM'!F3</f>
        <v>90</v>
      </c>
      <c r="G3" s="206">
        <f>'2 CARRILES HCM'!G3</f>
        <v>92.25</v>
      </c>
      <c r="H3" s="206">
        <f>'2 CARRILES HCM'!H3</f>
        <v>45</v>
      </c>
      <c r="I3" s="206">
        <f>'2 CARRILES HCM'!I3</f>
        <v>128.25</v>
      </c>
      <c r="J3" s="207">
        <f t="shared" ref="J3:J33" si="0">SUM(C3:I3)</f>
        <v>4500</v>
      </c>
      <c r="K3" s="35" t="e">
        <f t="shared" ref="K3:K18" si="1">F292</f>
        <v>#VALUE!</v>
      </c>
      <c r="L3" s="95" t="e">
        <f>IF(K3="E",60,M3)</f>
        <v>#VALUE!</v>
      </c>
      <c r="M3" s="267" t="e">
        <f t="shared" ref="M3:M33" si="2">G292</f>
        <v>#VALUE!</v>
      </c>
    </row>
    <row r="4" spans="1:13" x14ac:dyDescent="0.25">
      <c r="A4" s="41">
        <v>2014</v>
      </c>
      <c r="B4" s="41">
        <v>1</v>
      </c>
      <c r="C4" s="206">
        <f>'2 CARRILES HCM'!C4</f>
        <v>3703.3650000000002</v>
      </c>
      <c r="D4" s="206">
        <f>'2 CARRILES HCM'!D4</f>
        <v>250.29000000000002</v>
      </c>
      <c r="E4" s="206">
        <f>'2 CARRILES HCM'!E4</f>
        <v>315.18</v>
      </c>
      <c r="F4" s="206">
        <f>'2 CARRILES HCM'!F4</f>
        <v>92.7</v>
      </c>
      <c r="G4" s="206">
        <f>'2 CARRILES HCM'!G4</f>
        <v>95.017499999999998</v>
      </c>
      <c r="H4" s="206">
        <f>'2 CARRILES HCM'!H4</f>
        <v>46.35</v>
      </c>
      <c r="I4" s="206">
        <f>'2 CARRILES HCM'!I4</f>
        <v>132.0975</v>
      </c>
      <c r="J4" s="207">
        <f t="shared" si="0"/>
        <v>4635</v>
      </c>
      <c r="K4" s="35" t="e">
        <f t="shared" si="1"/>
        <v>#VALUE!</v>
      </c>
      <c r="L4" s="95" t="e">
        <f t="shared" ref="L4:L69" si="3">IF(K4="E",60,M4)</f>
        <v>#VALUE!</v>
      </c>
      <c r="M4" s="267" t="e">
        <f t="shared" si="2"/>
        <v>#VALUE!</v>
      </c>
    </row>
    <row r="5" spans="1:13" x14ac:dyDescent="0.25">
      <c r="A5" s="41">
        <v>2015</v>
      </c>
      <c r="B5" s="41">
        <v>2</v>
      </c>
      <c r="C5" s="206">
        <f>'2 CARRILES HCM'!C5</f>
        <v>3814.4659499999998</v>
      </c>
      <c r="D5" s="206">
        <f>'2 CARRILES HCM'!D5</f>
        <v>257.7987</v>
      </c>
      <c r="E5" s="206">
        <f>'2 CARRILES HCM'!E5</f>
        <v>324.6354</v>
      </c>
      <c r="F5" s="206">
        <f>'2 CARRILES HCM'!F5</f>
        <v>95.480999999999995</v>
      </c>
      <c r="G5" s="206">
        <f>'2 CARRILES HCM'!G5</f>
        <v>97.868024999999989</v>
      </c>
      <c r="H5" s="206">
        <f>'2 CARRILES HCM'!H5</f>
        <v>47.740499999999997</v>
      </c>
      <c r="I5" s="206">
        <f>'2 CARRILES HCM'!I5</f>
        <v>136.06042499999998</v>
      </c>
      <c r="J5" s="207">
        <f t="shared" si="0"/>
        <v>4774.0499999999984</v>
      </c>
      <c r="K5" s="35" t="e">
        <f t="shared" si="1"/>
        <v>#VALUE!</v>
      </c>
      <c r="L5" s="95" t="e">
        <f t="shared" si="3"/>
        <v>#VALUE!</v>
      </c>
      <c r="M5" s="267" t="e">
        <f t="shared" si="2"/>
        <v>#VALUE!</v>
      </c>
    </row>
    <row r="6" spans="1:13" x14ac:dyDescent="0.25">
      <c r="A6" s="41">
        <v>2016</v>
      </c>
      <c r="B6" s="41">
        <v>3</v>
      </c>
      <c r="C6" s="206">
        <f>'2 CARRILES HCM'!C6</f>
        <v>3928.8999285</v>
      </c>
      <c r="D6" s="206">
        <f>'2 CARRILES HCM'!D6</f>
        <v>265.53266100000002</v>
      </c>
      <c r="E6" s="206">
        <f>'2 CARRILES HCM'!E6</f>
        <v>334.37446199999999</v>
      </c>
      <c r="F6" s="206">
        <f>'2 CARRILES HCM'!F6</f>
        <v>98.345429999999993</v>
      </c>
      <c r="G6" s="206">
        <f>'2 CARRILES HCM'!G6</f>
        <v>100.80406575000001</v>
      </c>
      <c r="H6" s="206">
        <f>'2 CARRILES HCM'!H6</f>
        <v>49.172714999999997</v>
      </c>
      <c r="I6" s="206">
        <f>'2 CARRILES HCM'!I6</f>
        <v>140.14223774999999</v>
      </c>
      <c r="J6" s="207">
        <f t="shared" si="0"/>
        <v>4917.2714999999998</v>
      </c>
      <c r="K6" s="35" t="e">
        <f t="shared" si="1"/>
        <v>#VALUE!</v>
      </c>
      <c r="L6" s="95" t="e">
        <f t="shared" si="3"/>
        <v>#VALUE!</v>
      </c>
      <c r="M6" s="267" t="e">
        <f t="shared" si="2"/>
        <v>#VALUE!</v>
      </c>
    </row>
    <row r="7" spans="1:13" x14ac:dyDescent="0.25">
      <c r="A7" s="41">
        <v>2017</v>
      </c>
      <c r="B7" s="41">
        <v>4</v>
      </c>
      <c r="C7" s="206">
        <f>'2 CARRILES HCM'!C7</f>
        <v>4046.7669263549997</v>
      </c>
      <c r="D7" s="206">
        <f>'2 CARRILES HCM'!D7</f>
        <v>273.49864083</v>
      </c>
      <c r="E7" s="206">
        <f>'2 CARRILES HCM'!E7</f>
        <v>344.40569585999998</v>
      </c>
      <c r="F7" s="206">
        <f>'2 CARRILES HCM'!F7</f>
        <v>101.2957929</v>
      </c>
      <c r="G7" s="206">
        <f>'2 CARRILES HCM'!G7</f>
        <v>103.82818772249999</v>
      </c>
      <c r="H7" s="206">
        <f>'2 CARRILES HCM'!H7</f>
        <v>50.647896449999998</v>
      </c>
      <c r="I7" s="206">
        <f>'2 CARRILES HCM'!I7</f>
        <v>144.3465048825</v>
      </c>
      <c r="J7" s="207">
        <f t="shared" si="0"/>
        <v>5064.7896450000007</v>
      </c>
      <c r="K7" s="35" t="e">
        <f t="shared" si="1"/>
        <v>#VALUE!</v>
      </c>
      <c r="L7" s="95" t="e">
        <f t="shared" si="3"/>
        <v>#VALUE!</v>
      </c>
      <c r="M7" s="267" t="e">
        <f t="shared" si="2"/>
        <v>#VALUE!</v>
      </c>
    </row>
    <row r="8" spans="1:13" x14ac:dyDescent="0.25">
      <c r="A8" s="41">
        <v>2018</v>
      </c>
      <c r="B8" s="41">
        <v>5</v>
      </c>
      <c r="C8" s="206">
        <f>'2 CARRILES HCM'!C8</f>
        <v>4168.1699341456497</v>
      </c>
      <c r="D8" s="206">
        <f>'2 CARRILES HCM'!D8</f>
        <v>281.70360005489994</v>
      </c>
      <c r="E8" s="206">
        <f>'2 CARRILES HCM'!E8</f>
        <v>354.73786673579997</v>
      </c>
      <c r="F8" s="206">
        <f>'2 CARRILES HCM'!F8</f>
        <v>104.33466668699998</v>
      </c>
      <c r="G8" s="206">
        <f>'2 CARRILES HCM'!G8</f>
        <v>106.94303335417499</v>
      </c>
      <c r="H8" s="206">
        <f>'2 CARRILES HCM'!H8</f>
        <v>52.16733334349999</v>
      </c>
      <c r="I8" s="206">
        <f>'2 CARRILES HCM'!I8</f>
        <v>148.67690002897498</v>
      </c>
      <c r="J8" s="207">
        <f t="shared" si="0"/>
        <v>5216.7333343499995</v>
      </c>
      <c r="K8" s="35" t="e">
        <f t="shared" si="1"/>
        <v>#VALUE!</v>
      </c>
      <c r="L8" s="95" t="e">
        <f t="shared" si="3"/>
        <v>#VALUE!</v>
      </c>
      <c r="M8" s="267" t="e">
        <f t="shared" si="2"/>
        <v>#VALUE!</v>
      </c>
    </row>
    <row r="9" spans="1:13" x14ac:dyDescent="0.25">
      <c r="A9" s="41">
        <v>2019</v>
      </c>
      <c r="B9" s="41">
        <v>6</v>
      </c>
      <c r="C9" s="206">
        <f>'2 CARRILES HCM'!C9</f>
        <v>4293.2150321700192</v>
      </c>
      <c r="D9" s="206">
        <f>'2 CARRILES HCM'!D9</f>
        <v>290.15470805654695</v>
      </c>
      <c r="E9" s="206">
        <f>'2 CARRILES HCM'!E9</f>
        <v>365.38000273787395</v>
      </c>
      <c r="F9" s="206">
        <f>'2 CARRILES HCM'!F9</f>
        <v>107.46470668760999</v>
      </c>
      <c r="G9" s="206">
        <f>'2 CARRILES HCM'!G9</f>
        <v>110.15132435480024</v>
      </c>
      <c r="H9" s="206">
        <f>'2 CARRILES HCM'!H9</f>
        <v>53.732353343804995</v>
      </c>
      <c r="I9" s="206">
        <f>'2 CARRILES HCM'!I9</f>
        <v>153.13720702984423</v>
      </c>
      <c r="J9" s="207">
        <f t="shared" si="0"/>
        <v>5373.2353343804989</v>
      </c>
      <c r="K9" s="35" t="e">
        <f t="shared" si="1"/>
        <v>#VALUE!</v>
      </c>
      <c r="L9" s="95" t="e">
        <f t="shared" si="3"/>
        <v>#VALUE!</v>
      </c>
      <c r="M9" s="267" t="e">
        <f t="shared" si="2"/>
        <v>#VALUE!</v>
      </c>
    </row>
    <row r="10" spans="1:13" x14ac:dyDescent="0.25">
      <c r="A10" s="41">
        <v>2020</v>
      </c>
      <c r="B10" s="41">
        <v>7</v>
      </c>
      <c r="C10" s="206">
        <f>'2 CARRILES HCM'!C10</f>
        <v>4422.0114831351202</v>
      </c>
      <c r="D10" s="206">
        <f>'2 CARRILES HCM'!D10</f>
        <v>298.85934929824339</v>
      </c>
      <c r="E10" s="206">
        <f>'2 CARRILES HCM'!E10</f>
        <v>376.34140282001022</v>
      </c>
      <c r="F10" s="206">
        <f>'2 CARRILES HCM'!F10</f>
        <v>110.68864788823829</v>
      </c>
      <c r="G10" s="206">
        <f>'2 CARRILES HCM'!G10</f>
        <v>113.45586408544426</v>
      </c>
      <c r="H10" s="206">
        <f>'2 CARRILES HCM'!H10</f>
        <v>55.344323944119147</v>
      </c>
      <c r="I10" s="206">
        <f>'2 CARRILES HCM'!I10</f>
        <v>157.73132324073958</v>
      </c>
      <c r="J10" s="207">
        <f t="shared" si="0"/>
        <v>5534.4323944119151</v>
      </c>
      <c r="K10" s="35" t="e">
        <f t="shared" si="1"/>
        <v>#VALUE!</v>
      </c>
      <c r="L10" s="95" t="e">
        <f t="shared" si="3"/>
        <v>#VALUE!</v>
      </c>
      <c r="M10" s="267" t="e">
        <f t="shared" si="2"/>
        <v>#VALUE!</v>
      </c>
    </row>
    <row r="11" spans="1:13" x14ac:dyDescent="0.25">
      <c r="A11" s="41">
        <v>2021</v>
      </c>
      <c r="B11" s="41">
        <v>8</v>
      </c>
      <c r="C11" s="206">
        <f>'2 CARRILES HCM'!C11</f>
        <v>4554.6718276291731</v>
      </c>
      <c r="D11" s="206">
        <f>'2 CARRILES HCM'!D11</f>
        <v>307.82512977719068</v>
      </c>
      <c r="E11" s="206">
        <f>'2 CARRILES HCM'!E11</f>
        <v>387.63164490461048</v>
      </c>
      <c r="F11" s="206">
        <f>'2 CARRILES HCM'!F11</f>
        <v>114.00930732488544</v>
      </c>
      <c r="G11" s="206">
        <f>'2 CARRILES HCM'!G11</f>
        <v>116.85954000800757</v>
      </c>
      <c r="H11" s="206">
        <f>'2 CARRILES HCM'!H11</f>
        <v>57.00465366244272</v>
      </c>
      <c r="I11" s="206">
        <f>'2 CARRILES HCM'!I11</f>
        <v>162.46326293796173</v>
      </c>
      <c r="J11" s="207">
        <f t="shared" si="0"/>
        <v>5700.4653662442724</v>
      </c>
      <c r="K11" s="35" t="e">
        <f t="shared" si="1"/>
        <v>#VALUE!</v>
      </c>
      <c r="L11" s="95" t="e">
        <f t="shared" si="3"/>
        <v>#VALUE!</v>
      </c>
      <c r="M11" s="267" t="e">
        <f t="shared" si="2"/>
        <v>#VALUE!</v>
      </c>
    </row>
    <row r="12" spans="1:13" x14ac:dyDescent="0.25">
      <c r="A12" s="41">
        <v>2022</v>
      </c>
      <c r="B12" s="41">
        <v>9</v>
      </c>
      <c r="C12" s="206">
        <f>'2 CARRILES HCM'!C12</f>
        <v>4691.3119824580481</v>
      </c>
      <c r="D12" s="206">
        <f>'2 CARRILES HCM'!D12</f>
        <v>317.05988367050639</v>
      </c>
      <c r="E12" s="206">
        <f>'2 CARRILES HCM'!E12</f>
        <v>399.26059425174878</v>
      </c>
      <c r="F12" s="206">
        <f>'2 CARRILES HCM'!F12</f>
        <v>117.429586544632</v>
      </c>
      <c r="G12" s="206">
        <f>'2 CARRILES HCM'!G12</f>
        <v>120.36532620824781</v>
      </c>
      <c r="H12" s="206">
        <f>'2 CARRILES HCM'!H12</f>
        <v>58.714793272316001</v>
      </c>
      <c r="I12" s="206">
        <f>'2 CARRILES HCM'!I12</f>
        <v>167.33716082610061</v>
      </c>
      <c r="J12" s="207">
        <f t="shared" si="0"/>
        <v>5871.4793272316001</v>
      </c>
      <c r="K12" s="35" t="e">
        <f t="shared" si="1"/>
        <v>#VALUE!</v>
      </c>
      <c r="L12" s="95" t="e">
        <f t="shared" si="3"/>
        <v>#VALUE!</v>
      </c>
      <c r="M12" s="267" t="e">
        <f t="shared" si="2"/>
        <v>#VALUE!</v>
      </c>
    </row>
    <row r="13" spans="1:13" x14ac:dyDescent="0.25">
      <c r="A13" s="41">
        <v>2023</v>
      </c>
      <c r="B13" s="41">
        <v>10</v>
      </c>
      <c r="C13" s="206">
        <f>'2 CARRILES HCM'!C13</f>
        <v>4832.0513419317895</v>
      </c>
      <c r="D13" s="206">
        <f>'2 CARRILES HCM'!D13</f>
        <v>326.57168018062157</v>
      </c>
      <c r="E13" s="206">
        <f>'2 CARRILES HCM'!E13</f>
        <v>411.23841207930127</v>
      </c>
      <c r="F13" s="206">
        <f>'2 CARRILES HCM'!F13</f>
        <v>120.95247414097096</v>
      </c>
      <c r="G13" s="206">
        <f>'2 CARRILES HCM'!G13</f>
        <v>123.97628599449523</v>
      </c>
      <c r="H13" s="206">
        <f>'2 CARRILES HCM'!H13</f>
        <v>60.476237070485482</v>
      </c>
      <c r="I13" s="206">
        <f>'2 CARRILES HCM'!I13</f>
        <v>172.35727565088362</v>
      </c>
      <c r="J13" s="207">
        <f t="shared" si="0"/>
        <v>6047.6237070485486</v>
      </c>
      <c r="K13" s="35" t="e">
        <f t="shared" si="1"/>
        <v>#VALUE!</v>
      </c>
      <c r="L13" s="95" t="e">
        <f t="shared" si="3"/>
        <v>#VALUE!</v>
      </c>
      <c r="M13" s="267" t="e">
        <f t="shared" si="2"/>
        <v>#VALUE!</v>
      </c>
    </row>
    <row r="14" spans="1:13" x14ac:dyDescent="0.25">
      <c r="A14" s="41">
        <v>2024</v>
      </c>
      <c r="B14" s="41">
        <v>11</v>
      </c>
      <c r="C14" s="206">
        <f>'2 CARRILES HCM'!C14</f>
        <v>4977.0128821897433</v>
      </c>
      <c r="D14" s="206">
        <f>'2 CARRILES HCM'!D14</f>
        <v>336.36883058604025</v>
      </c>
      <c r="E14" s="206">
        <f>'2 CARRILES HCM'!E14</f>
        <v>423.57556444168034</v>
      </c>
      <c r="F14" s="206">
        <f>'2 CARRILES HCM'!F14</f>
        <v>124.58104836520009</v>
      </c>
      <c r="G14" s="206">
        <f>'2 CARRILES HCM'!G14</f>
        <v>127.6955745743301</v>
      </c>
      <c r="H14" s="206">
        <f>'2 CARRILES HCM'!H14</f>
        <v>62.290524182600045</v>
      </c>
      <c r="I14" s="206">
        <f>'2 CARRILES HCM'!I14</f>
        <v>177.52799392041013</v>
      </c>
      <c r="J14" s="207">
        <f t="shared" si="0"/>
        <v>6229.0524182600047</v>
      </c>
      <c r="K14" s="35" t="e">
        <f t="shared" si="1"/>
        <v>#VALUE!</v>
      </c>
      <c r="L14" s="95" t="e">
        <f t="shared" si="3"/>
        <v>#VALUE!</v>
      </c>
      <c r="M14" s="267" t="e">
        <f t="shared" si="2"/>
        <v>#VALUE!</v>
      </c>
    </row>
    <row r="15" spans="1:13" x14ac:dyDescent="0.25">
      <c r="A15" s="41">
        <v>2025</v>
      </c>
      <c r="B15" s="41">
        <v>12</v>
      </c>
      <c r="C15" s="206">
        <f>'2 CARRILES HCM'!C15</f>
        <v>5126.3232686554356</v>
      </c>
      <c r="D15" s="206">
        <f>'2 CARRILES HCM'!D15</f>
        <v>346.4598955036214</v>
      </c>
      <c r="E15" s="206">
        <f>'2 CARRILES HCM'!E15</f>
        <v>436.28283137493065</v>
      </c>
      <c r="F15" s="206">
        <f>'2 CARRILES HCM'!F15</f>
        <v>128.31847981615607</v>
      </c>
      <c r="G15" s="206">
        <f>'2 CARRILES HCM'!G15</f>
        <v>131.52644181155998</v>
      </c>
      <c r="H15" s="206">
        <f>'2 CARRILES HCM'!H15</f>
        <v>64.159239908078035</v>
      </c>
      <c r="I15" s="206">
        <f>'2 CARRILES HCM'!I15</f>
        <v>182.85383373802242</v>
      </c>
      <c r="J15" s="207">
        <f t="shared" si="0"/>
        <v>6415.9239908078052</v>
      </c>
      <c r="K15" s="35" t="e">
        <f t="shared" si="1"/>
        <v>#VALUE!</v>
      </c>
      <c r="L15" s="95" t="e">
        <f t="shared" si="3"/>
        <v>#VALUE!</v>
      </c>
      <c r="M15" s="267" t="e">
        <f t="shared" si="2"/>
        <v>#VALUE!</v>
      </c>
    </row>
    <row r="16" spans="1:13" x14ac:dyDescent="0.25">
      <c r="A16" s="41">
        <v>2026</v>
      </c>
      <c r="B16" s="41">
        <v>13</v>
      </c>
      <c r="C16" s="206">
        <f>'2 CARRILES HCM'!C16</f>
        <v>5280.1129667150981</v>
      </c>
      <c r="D16" s="206">
        <f>'2 CARRILES HCM'!D16</f>
        <v>356.85369236873004</v>
      </c>
      <c r="E16" s="206">
        <f>'2 CARRILES HCM'!E16</f>
        <v>449.37131631617854</v>
      </c>
      <c r="F16" s="206">
        <f>'2 CARRILES HCM'!F16</f>
        <v>132.16803421064074</v>
      </c>
      <c r="G16" s="206">
        <f>'2 CARRILES HCM'!G16</f>
        <v>135.47223506590677</v>
      </c>
      <c r="H16" s="206">
        <f>'2 CARRILES HCM'!H16</f>
        <v>66.08401710532037</v>
      </c>
      <c r="I16" s="206">
        <f>'2 CARRILES HCM'!I16</f>
        <v>188.33944875016309</v>
      </c>
      <c r="J16" s="207">
        <f t="shared" si="0"/>
        <v>6608.4017105320372</v>
      </c>
      <c r="K16" s="35" t="e">
        <f t="shared" si="1"/>
        <v>#VALUE!</v>
      </c>
      <c r="L16" s="95" t="e">
        <f t="shared" si="3"/>
        <v>#VALUE!</v>
      </c>
      <c r="M16" s="267" t="e">
        <f t="shared" si="2"/>
        <v>#VALUE!</v>
      </c>
    </row>
    <row r="17" spans="1:13" x14ac:dyDescent="0.25">
      <c r="A17" s="41">
        <v>2027</v>
      </c>
      <c r="B17" s="41">
        <v>14</v>
      </c>
      <c r="C17" s="206">
        <f>'2 CARRILES HCM'!C17</f>
        <v>5438.5163557165515</v>
      </c>
      <c r="D17" s="206">
        <f>'2 CARRILES HCM'!D17</f>
        <v>367.55930313979195</v>
      </c>
      <c r="E17" s="206">
        <f>'2 CARRILES HCM'!E17</f>
        <v>462.85245580566396</v>
      </c>
      <c r="F17" s="206">
        <f>'2 CARRILES HCM'!F17</f>
        <v>136.13307523696</v>
      </c>
      <c r="G17" s="206">
        <f>'2 CARRILES HCM'!G17</f>
        <v>139.53640211788399</v>
      </c>
      <c r="H17" s="206">
        <f>'2 CARRILES HCM'!H17</f>
        <v>68.066537618479998</v>
      </c>
      <c r="I17" s="206">
        <f>'2 CARRILES HCM'!I17</f>
        <v>193.989632212668</v>
      </c>
      <c r="J17" s="207">
        <f t="shared" si="0"/>
        <v>6806.6537618479997</v>
      </c>
      <c r="K17" s="35" t="e">
        <f t="shared" si="1"/>
        <v>#VALUE!</v>
      </c>
      <c r="L17" s="95" t="e">
        <f t="shared" si="3"/>
        <v>#VALUE!</v>
      </c>
      <c r="M17" s="267" t="e">
        <f t="shared" si="2"/>
        <v>#VALUE!</v>
      </c>
    </row>
    <row r="18" spans="1:13" x14ac:dyDescent="0.25">
      <c r="A18" s="41">
        <v>2028</v>
      </c>
      <c r="B18" s="41">
        <v>15</v>
      </c>
      <c r="C18" s="206">
        <f>'2 CARRILES HCM'!C18</f>
        <v>5601.6718463880488</v>
      </c>
      <c r="D18" s="206">
        <f>'2 CARRILES HCM'!D18</f>
        <v>378.58608223398574</v>
      </c>
      <c r="E18" s="206">
        <f>'2 CARRILES HCM'!E18</f>
        <v>476.73802947983393</v>
      </c>
      <c r="F18" s="206">
        <f>'2 CARRILES HCM'!F18</f>
        <v>140.2170674940688</v>
      </c>
      <c r="G18" s="206">
        <f>'2 CARRILES HCM'!G18</f>
        <v>143.72249418142053</v>
      </c>
      <c r="H18" s="206">
        <f>'2 CARRILES HCM'!H18</f>
        <v>70.1085337470344</v>
      </c>
      <c r="I18" s="206">
        <f>'2 CARRILES HCM'!I18</f>
        <v>199.80932117904803</v>
      </c>
      <c r="J18" s="207">
        <f t="shared" si="0"/>
        <v>7010.8533747034398</v>
      </c>
      <c r="K18" s="35" t="e">
        <f t="shared" si="1"/>
        <v>#VALUE!</v>
      </c>
      <c r="L18" s="95" t="e">
        <f t="shared" si="3"/>
        <v>#VALUE!</v>
      </c>
      <c r="M18" s="267" t="e">
        <f t="shared" si="2"/>
        <v>#VALUE!</v>
      </c>
    </row>
    <row r="19" spans="1:13" x14ac:dyDescent="0.25">
      <c r="A19" s="41">
        <v>2029</v>
      </c>
      <c r="B19" s="41">
        <v>16</v>
      </c>
      <c r="C19" s="206">
        <f>'2 CARRILES HCM'!C19</f>
        <v>5769.722001779689</v>
      </c>
      <c r="D19" s="206">
        <f>'2 CARRILES HCM'!D19</f>
        <v>389.94366470100528</v>
      </c>
      <c r="E19" s="206">
        <f>'2 CARRILES HCM'!E19</f>
        <v>491.04017036422886</v>
      </c>
      <c r="F19" s="206">
        <f>'2 CARRILES HCM'!F19</f>
        <v>144.42357951889085</v>
      </c>
      <c r="G19" s="206">
        <f>'2 CARRILES HCM'!G19</f>
        <v>148.0341690068631</v>
      </c>
      <c r="H19" s="206">
        <f>'2 CARRILES HCM'!H19</f>
        <v>72.211789759445423</v>
      </c>
      <c r="I19" s="206">
        <f>'2 CARRILES HCM'!I19</f>
        <v>205.80360081441944</v>
      </c>
      <c r="J19" s="207">
        <f t="shared" si="0"/>
        <v>7221.1789759445419</v>
      </c>
      <c r="K19" s="35" t="e">
        <f t="shared" ref="K19:K33" si="4">F308</f>
        <v>#VALUE!</v>
      </c>
      <c r="L19" s="95" t="e">
        <f t="shared" si="3"/>
        <v>#VALUE!</v>
      </c>
      <c r="M19" s="267" t="e">
        <f t="shared" si="2"/>
        <v>#VALUE!</v>
      </c>
    </row>
    <row r="20" spans="1:13" x14ac:dyDescent="0.25">
      <c r="A20" s="41">
        <v>2030</v>
      </c>
      <c r="B20" s="41">
        <v>17</v>
      </c>
      <c r="C20" s="206">
        <f>'2 CARRILES HCM'!C20</f>
        <v>5942.81366183308</v>
      </c>
      <c r="D20" s="206">
        <f>'2 CARRILES HCM'!D20</f>
        <v>401.64197464203539</v>
      </c>
      <c r="E20" s="206">
        <f>'2 CARRILES HCM'!E20</f>
        <v>505.77137547515571</v>
      </c>
      <c r="F20" s="206">
        <f>'2 CARRILES HCM'!F20</f>
        <v>148.75628690445757</v>
      </c>
      <c r="G20" s="206">
        <f>'2 CARRILES HCM'!G20</f>
        <v>152.47519407706901</v>
      </c>
      <c r="H20" s="206">
        <f>'2 CARRILES HCM'!H20</f>
        <v>74.378143452228784</v>
      </c>
      <c r="I20" s="206">
        <f>'2 CARRILES HCM'!I20</f>
        <v>211.97770883885204</v>
      </c>
      <c r="J20" s="207">
        <f t="shared" si="0"/>
        <v>7437.8143452228787</v>
      </c>
      <c r="K20" s="35" t="e">
        <f t="shared" si="4"/>
        <v>#VALUE!</v>
      </c>
      <c r="L20" s="95" t="e">
        <f t="shared" si="3"/>
        <v>#VALUE!</v>
      </c>
      <c r="M20" s="267" t="e">
        <f t="shared" si="2"/>
        <v>#VALUE!</v>
      </c>
    </row>
    <row r="21" spans="1:13" x14ac:dyDescent="0.25">
      <c r="A21" s="41">
        <v>2031</v>
      </c>
      <c r="B21" s="41">
        <v>18</v>
      </c>
      <c r="C21" s="206">
        <f>'2 CARRILES HCM'!C21</f>
        <v>6121.0980716880722</v>
      </c>
      <c r="D21" s="206">
        <f>'2 CARRILES HCM'!D21</f>
        <v>413.69123388129651</v>
      </c>
      <c r="E21" s="206">
        <f>'2 CARRILES HCM'!E21</f>
        <v>520.94451673941035</v>
      </c>
      <c r="F21" s="206">
        <f>'2 CARRILES HCM'!F21</f>
        <v>153.21897551159128</v>
      </c>
      <c r="G21" s="206">
        <f>'2 CARRILES HCM'!G21</f>
        <v>157.04944989938107</v>
      </c>
      <c r="H21" s="206">
        <f>'2 CARRILES HCM'!H21</f>
        <v>76.609487755795641</v>
      </c>
      <c r="I21" s="206">
        <f>'2 CARRILES HCM'!I21</f>
        <v>218.3370401040176</v>
      </c>
      <c r="J21" s="207">
        <f t="shared" si="0"/>
        <v>7660.9487755795644</v>
      </c>
      <c r="K21" s="35" t="e">
        <f t="shared" si="4"/>
        <v>#VALUE!</v>
      </c>
      <c r="L21" s="95" t="e">
        <f t="shared" si="3"/>
        <v>#VALUE!</v>
      </c>
      <c r="M21" s="267" t="e">
        <f t="shared" si="2"/>
        <v>#VALUE!</v>
      </c>
    </row>
    <row r="22" spans="1:13" x14ac:dyDescent="0.25">
      <c r="A22" s="41">
        <v>2032</v>
      </c>
      <c r="B22" s="41">
        <v>19</v>
      </c>
      <c r="C22" s="206">
        <f>'2 CARRILES HCM'!C22</f>
        <v>6304.7310138387138</v>
      </c>
      <c r="D22" s="206">
        <f>'2 CARRILES HCM'!D22</f>
        <v>426.10197089773538</v>
      </c>
      <c r="E22" s="206">
        <f>'2 CARRILES HCM'!E22</f>
        <v>536.57285224159273</v>
      </c>
      <c r="F22" s="206">
        <f>'2 CARRILES HCM'!F22</f>
        <v>157.81554477693902</v>
      </c>
      <c r="G22" s="206">
        <f>'2 CARRILES HCM'!G22</f>
        <v>161.7609333963625</v>
      </c>
      <c r="H22" s="206">
        <f>'2 CARRILES HCM'!H22</f>
        <v>78.90777238846951</v>
      </c>
      <c r="I22" s="206">
        <f>'2 CARRILES HCM'!I22</f>
        <v>224.88715130713811</v>
      </c>
      <c r="J22" s="207">
        <f t="shared" si="0"/>
        <v>7890.7772388469511</v>
      </c>
      <c r="K22" s="35" t="e">
        <f t="shared" si="4"/>
        <v>#VALUE!</v>
      </c>
      <c r="L22" s="95" t="e">
        <f t="shared" si="3"/>
        <v>#VALUE!</v>
      </c>
      <c r="M22" s="267" t="e">
        <f t="shared" si="2"/>
        <v>#VALUE!</v>
      </c>
    </row>
    <row r="23" spans="1:13" x14ac:dyDescent="0.25">
      <c r="A23" s="41">
        <v>2033</v>
      </c>
      <c r="B23" s="41">
        <v>20</v>
      </c>
      <c r="C23" s="206">
        <f>'2 CARRILES HCM'!C23</f>
        <v>6493.8729442538752</v>
      </c>
      <c r="D23" s="206">
        <f>'2 CARRILES HCM'!D23</f>
        <v>438.8850300246674</v>
      </c>
      <c r="E23" s="206">
        <f>'2 CARRILES HCM'!E23</f>
        <v>552.67003780884045</v>
      </c>
      <c r="F23" s="206">
        <f>'2 CARRILES HCM'!F23</f>
        <v>162.55001112024721</v>
      </c>
      <c r="G23" s="206">
        <f>'2 CARRILES HCM'!G23</f>
        <v>166.61376139825336</v>
      </c>
      <c r="H23" s="206">
        <f>'2 CARRILES HCM'!H23</f>
        <v>81.275005560123603</v>
      </c>
      <c r="I23" s="206">
        <f>'2 CARRILES HCM'!I23</f>
        <v>231.63376584635225</v>
      </c>
      <c r="J23" s="207">
        <f t="shared" si="0"/>
        <v>8127.5005560123609</v>
      </c>
      <c r="K23" s="35" t="e">
        <f t="shared" si="4"/>
        <v>#VALUE!</v>
      </c>
      <c r="L23" s="95" t="e">
        <f t="shared" si="3"/>
        <v>#VALUE!</v>
      </c>
      <c r="M23" s="267" t="e">
        <f t="shared" si="2"/>
        <v>#VALUE!</v>
      </c>
    </row>
    <row r="24" spans="1:13" x14ac:dyDescent="0.25">
      <c r="A24" s="41">
        <v>2034</v>
      </c>
      <c r="B24" s="41">
        <v>21</v>
      </c>
      <c r="C24" s="206">
        <f>'2 CARRILES HCM'!C24</f>
        <v>6688.6891325814904</v>
      </c>
      <c r="D24" s="206">
        <f>'2 CARRILES HCM'!D24</f>
        <v>452.05158092540739</v>
      </c>
      <c r="E24" s="206">
        <f>'2 CARRILES HCM'!E24</f>
        <v>569.25013894310564</v>
      </c>
      <c r="F24" s="206">
        <f>'2 CARRILES HCM'!F24</f>
        <v>167.42651145385457</v>
      </c>
      <c r="G24" s="206">
        <f>'2 CARRILES HCM'!G24</f>
        <v>171.61217424020094</v>
      </c>
      <c r="H24" s="206">
        <f>'2 CARRILES HCM'!H24</f>
        <v>83.713255726927287</v>
      </c>
      <c r="I24" s="206">
        <f>'2 CARRILES HCM'!I24</f>
        <v>238.58277882174278</v>
      </c>
      <c r="J24" s="207">
        <f t="shared" si="0"/>
        <v>8371.3255726927291</v>
      </c>
      <c r="K24" s="35" t="e">
        <f t="shared" si="4"/>
        <v>#VALUE!</v>
      </c>
      <c r="L24" s="95" t="e">
        <f t="shared" si="3"/>
        <v>#VALUE!</v>
      </c>
      <c r="M24" s="267" t="e">
        <f t="shared" si="2"/>
        <v>#VALUE!</v>
      </c>
    </row>
    <row r="25" spans="1:13" x14ac:dyDescent="0.25">
      <c r="A25" s="41">
        <v>2035</v>
      </c>
      <c r="B25" s="41">
        <v>22</v>
      </c>
      <c r="C25" s="206">
        <f>'2 CARRILES HCM'!C25</f>
        <v>6889.3498065589365</v>
      </c>
      <c r="D25" s="206">
        <f>'2 CARRILES HCM'!D25</f>
        <v>465.61312835316966</v>
      </c>
      <c r="E25" s="206">
        <f>'2 CARRILES HCM'!E25</f>
        <v>586.32764311139886</v>
      </c>
      <c r="F25" s="206">
        <f>'2 CARRILES HCM'!F25</f>
        <v>172.44930679747023</v>
      </c>
      <c r="G25" s="206">
        <f>'2 CARRILES HCM'!G25</f>
        <v>176.760539467407</v>
      </c>
      <c r="H25" s="206">
        <f>'2 CARRILES HCM'!H25</f>
        <v>86.224653398735114</v>
      </c>
      <c r="I25" s="206">
        <f>'2 CARRILES HCM'!I25</f>
        <v>245.74026218639509</v>
      </c>
      <c r="J25" s="207">
        <f t="shared" si="0"/>
        <v>8622.4653398735118</v>
      </c>
      <c r="K25" s="35" t="e">
        <f t="shared" si="4"/>
        <v>#VALUE!</v>
      </c>
      <c r="L25" s="95" t="e">
        <f t="shared" si="3"/>
        <v>#VALUE!</v>
      </c>
      <c r="M25" s="267" t="e">
        <f t="shared" si="2"/>
        <v>#VALUE!</v>
      </c>
    </row>
    <row r="26" spans="1:13" x14ac:dyDescent="0.25">
      <c r="A26" s="41">
        <v>2036</v>
      </c>
      <c r="B26" s="41">
        <v>23</v>
      </c>
      <c r="C26" s="206">
        <f>'2 CARRILES HCM'!C26</f>
        <v>7096.030300755705</v>
      </c>
      <c r="D26" s="206">
        <f>'2 CARRILES HCM'!D26</f>
        <v>479.58152220376479</v>
      </c>
      <c r="E26" s="206">
        <f>'2 CARRILES HCM'!E26</f>
        <v>603.91747240474081</v>
      </c>
      <c r="F26" s="206">
        <f>'2 CARRILES HCM'!F26</f>
        <v>177.62278600139436</v>
      </c>
      <c r="G26" s="206">
        <f>'2 CARRILES HCM'!G26</f>
        <v>182.06335565142922</v>
      </c>
      <c r="H26" s="206">
        <f>'2 CARRILES HCM'!H26</f>
        <v>88.81139300069718</v>
      </c>
      <c r="I26" s="206">
        <f>'2 CARRILES HCM'!I26</f>
        <v>253.11247005198697</v>
      </c>
      <c r="J26" s="207">
        <f t="shared" si="0"/>
        <v>8881.1393000697171</v>
      </c>
      <c r="K26" s="35" t="e">
        <f t="shared" si="4"/>
        <v>#VALUE!</v>
      </c>
      <c r="L26" s="95" t="e">
        <f t="shared" si="3"/>
        <v>#VALUE!</v>
      </c>
      <c r="M26" s="267" t="e">
        <f t="shared" si="2"/>
        <v>#VALUE!</v>
      </c>
    </row>
    <row r="27" spans="1:13" x14ac:dyDescent="0.25">
      <c r="A27" s="41">
        <v>2037</v>
      </c>
      <c r="B27" s="41">
        <v>24</v>
      </c>
      <c r="C27" s="206">
        <f>'2 CARRILES HCM'!C27</f>
        <v>7308.9112097783745</v>
      </c>
      <c r="D27" s="206">
        <f>'2 CARRILES HCM'!D27</f>
        <v>493.96896786987764</v>
      </c>
      <c r="E27" s="206">
        <f>'2 CARRILES HCM'!E27</f>
        <v>622.03499657688292</v>
      </c>
      <c r="F27" s="206">
        <f>'2 CARRILES HCM'!F27</f>
        <v>182.95146958143616</v>
      </c>
      <c r="G27" s="206">
        <f>'2 CARRILES HCM'!G27</f>
        <v>187.52525632097206</v>
      </c>
      <c r="H27" s="206">
        <f>'2 CARRILES HCM'!H27</f>
        <v>91.475734790718079</v>
      </c>
      <c r="I27" s="206">
        <f>'2 CARRILES HCM'!I27</f>
        <v>260.70584415354654</v>
      </c>
      <c r="J27" s="207">
        <f t="shared" si="0"/>
        <v>9147.5734790718088</v>
      </c>
      <c r="K27" s="35" t="e">
        <f t="shared" si="4"/>
        <v>#VALUE!</v>
      </c>
      <c r="L27" s="95" t="e">
        <f t="shared" si="3"/>
        <v>#VALUE!</v>
      </c>
      <c r="M27" s="267" t="e">
        <f t="shared" si="2"/>
        <v>#VALUE!</v>
      </c>
    </row>
    <row r="28" spans="1:13" x14ac:dyDescent="0.25">
      <c r="A28" s="41">
        <v>2038</v>
      </c>
      <c r="B28" s="41">
        <v>25</v>
      </c>
      <c r="C28" s="206">
        <f>'2 CARRILES HCM'!C28</f>
        <v>7528.1785460717256</v>
      </c>
      <c r="D28" s="206">
        <f>'2 CARRILES HCM'!D28</f>
        <v>508.78803690597397</v>
      </c>
      <c r="E28" s="206">
        <f>'2 CARRILES HCM'!E28</f>
        <v>640.69604647418942</v>
      </c>
      <c r="F28" s="206">
        <f>'2 CARRILES HCM'!F28</f>
        <v>188.44001366887923</v>
      </c>
      <c r="G28" s="206">
        <f>'2 CARRILES HCM'!G28</f>
        <v>193.15101401060122</v>
      </c>
      <c r="H28" s="206">
        <f>'2 CARRILES HCM'!H28</f>
        <v>94.220006834439616</v>
      </c>
      <c r="I28" s="206">
        <f>'2 CARRILES HCM'!I28</f>
        <v>268.52701947815291</v>
      </c>
      <c r="J28" s="207">
        <f t="shared" si="0"/>
        <v>9422.0006834439628</v>
      </c>
      <c r="K28" s="35" t="e">
        <f t="shared" si="4"/>
        <v>#VALUE!</v>
      </c>
      <c r="L28" s="95" t="e">
        <f t="shared" si="3"/>
        <v>#VALUE!</v>
      </c>
      <c r="M28" s="267" t="e">
        <f t="shared" si="2"/>
        <v>#VALUE!</v>
      </c>
    </row>
    <row r="29" spans="1:13" x14ac:dyDescent="0.25">
      <c r="A29" s="41">
        <v>2039</v>
      </c>
      <c r="B29" s="41">
        <v>26</v>
      </c>
      <c r="C29" s="206">
        <f>'2 CARRILES HCM'!C29</f>
        <v>7754.0239024538787</v>
      </c>
      <c r="D29" s="206">
        <f>'2 CARRILES HCM'!D29</f>
        <v>524.05167801315326</v>
      </c>
      <c r="E29" s="206">
        <f>'2 CARRILES HCM'!E29</f>
        <v>659.9169278684152</v>
      </c>
      <c r="F29" s="206">
        <f>'2 CARRILES HCM'!F29</f>
        <v>194.09321407894566</v>
      </c>
      <c r="G29" s="206">
        <f>'2 CARRILES HCM'!G29</f>
        <v>198.94554443091928</v>
      </c>
      <c r="H29" s="206">
        <f>'2 CARRILES HCM'!H29</f>
        <v>97.046607039472832</v>
      </c>
      <c r="I29" s="206">
        <f>'2 CARRILES HCM'!I29</f>
        <v>276.58283006249758</v>
      </c>
      <c r="J29" s="207">
        <f t="shared" si="0"/>
        <v>9704.6607039472819</v>
      </c>
      <c r="K29" s="35" t="e">
        <f t="shared" si="4"/>
        <v>#VALUE!</v>
      </c>
      <c r="L29" s="95" t="e">
        <f t="shared" si="3"/>
        <v>#VALUE!</v>
      </c>
      <c r="M29" s="267" t="e">
        <f t="shared" si="2"/>
        <v>#VALUE!</v>
      </c>
    </row>
    <row r="30" spans="1:13" x14ac:dyDescent="0.25">
      <c r="A30" s="41">
        <v>2040</v>
      </c>
      <c r="B30" s="41">
        <v>27</v>
      </c>
      <c r="C30" s="206">
        <f>'2 CARRILES HCM'!C30</f>
        <v>7986.6446195274939</v>
      </c>
      <c r="D30" s="206">
        <f>'2 CARRILES HCM'!D30</f>
        <v>539.77322835354778</v>
      </c>
      <c r="E30" s="206">
        <f>'2 CARRILES HCM'!E30</f>
        <v>679.71443570446763</v>
      </c>
      <c r="F30" s="206">
        <f>'2 CARRILES HCM'!F30</f>
        <v>199.91601050131399</v>
      </c>
      <c r="G30" s="206">
        <f>'2 CARRILES HCM'!G30</f>
        <v>204.91391076384684</v>
      </c>
      <c r="H30" s="206">
        <f>'2 CARRILES HCM'!H30</f>
        <v>99.958005250656996</v>
      </c>
      <c r="I30" s="206">
        <f>'2 CARRILES HCM'!I30</f>
        <v>284.88031496437242</v>
      </c>
      <c r="J30" s="207">
        <f t="shared" si="0"/>
        <v>9995.8005250656988</v>
      </c>
      <c r="K30" s="35" t="e">
        <f t="shared" si="4"/>
        <v>#VALUE!</v>
      </c>
      <c r="L30" s="95" t="e">
        <f t="shared" si="3"/>
        <v>#VALUE!</v>
      </c>
      <c r="M30" s="267" t="e">
        <f t="shared" si="2"/>
        <v>#VALUE!</v>
      </c>
    </row>
    <row r="31" spans="1:13" x14ac:dyDescent="0.25">
      <c r="A31" s="41">
        <v>2041</v>
      </c>
      <c r="B31" s="41">
        <v>28</v>
      </c>
      <c r="C31" s="206">
        <f>'2 CARRILES HCM'!C31</f>
        <v>8226.2439581133185</v>
      </c>
      <c r="D31" s="206">
        <f>'2 CARRILES HCM'!D31</f>
        <v>555.96642520415423</v>
      </c>
      <c r="E31" s="206">
        <f>'2 CARRILES HCM'!E31</f>
        <v>700.10586877560161</v>
      </c>
      <c r="F31" s="206">
        <f>'2 CARRILES HCM'!F31</f>
        <v>205.91349081635343</v>
      </c>
      <c r="G31" s="206">
        <f>'2 CARRILES HCM'!G31</f>
        <v>211.06132808676224</v>
      </c>
      <c r="H31" s="206">
        <f>'2 CARRILES HCM'!H31</f>
        <v>102.95674540817672</v>
      </c>
      <c r="I31" s="206">
        <f>'2 CARRILES HCM'!I31</f>
        <v>293.42672441330365</v>
      </c>
      <c r="J31" s="207">
        <f t="shared" si="0"/>
        <v>10295.674540817672</v>
      </c>
      <c r="K31" s="35" t="e">
        <f t="shared" si="4"/>
        <v>#VALUE!</v>
      </c>
      <c r="L31" s="95" t="e">
        <f t="shared" si="3"/>
        <v>#VALUE!</v>
      </c>
      <c r="M31" s="267" t="e">
        <f t="shared" si="2"/>
        <v>#VALUE!</v>
      </c>
    </row>
    <row r="32" spans="1:13" x14ac:dyDescent="0.25">
      <c r="A32" s="41">
        <v>2042</v>
      </c>
      <c r="B32" s="41">
        <v>29</v>
      </c>
      <c r="C32" s="206">
        <f>'2 CARRILES HCM'!C32</f>
        <v>8473.0312768567183</v>
      </c>
      <c r="D32" s="206">
        <f>'2 CARRILES HCM'!D32</f>
        <v>572.64541796027879</v>
      </c>
      <c r="E32" s="206">
        <f>'2 CARRILES HCM'!E32</f>
        <v>721.10904483886964</v>
      </c>
      <c r="F32" s="206">
        <f>'2 CARRILES HCM'!F32</f>
        <v>212.090895540844</v>
      </c>
      <c r="G32" s="206">
        <f>'2 CARRILES HCM'!G32</f>
        <v>217.39316792936509</v>
      </c>
      <c r="H32" s="206">
        <f>'2 CARRILES HCM'!H32</f>
        <v>106.045447770422</v>
      </c>
      <c r="I32" s="206">
        <f>'2 CARRILES HCM'!I32</f>
        <v>302.22952614570272</v>
      </c>
      <c r="J32" s="207">
        <f t="shared" si="0"/>
        <v>10604.5447770422</v>
      </c>
      <c r="K32" s="35" t="e">
        <f t="shared" si="4"/>
        <v>#VALUE!</v>
      </c>
      <c r="L32" s="95" t="e">
        <f t="shared" si="3"/>
        <v>#VALUE!</v>
      </c>
      <c r="M32" s="267" t="e">
        <f t="shared" si="2"/>
        <v>#VALUE!</v>
      </c>
    </row>
    <row r="33" spans="1:13" x14ac:dyDescent="0.25">
      <c r="A33" s="41">
        <v>2043</v>
      </c>
      <c r="B33" s="41">
        <v>30</v>
      </c>
      <c r="C33" s="206">
        <f>'2 CARRILES HCM'!C33</f>
        <v>8727.2222151624192</v>
      </c>
      <c r="D33" s="206">
        <f>'2 CARRILES HCM'!D33</f>
        <v>589.82478049908718</v>
      </c>
      <c r="E33" s="206">
        <f>'2 CARRILES HCM'!E33</f>
        <v>742.74231618403564</v>
      </c>
      <c r="F33" s="206">
        <f>'2 CARRILES HCM'!F33</f>
        <v>218.45362240706933</v>
      </c>
      <c r="G33" s="206">
        <f>'2 CARRILES HCM'!G33</f>
        <v>223.91496296724605</v>
      </c>
      <c r="H33" s="206">
        <f>'2 CARRILES HCM'!H33</f>
        <v>109.22681120353467</v>
      </c>
      <c r="I33" s="206">
        <f>'2 CARRILES HCM'!I33</f>
        <v>311.29641193007376</v>
      </c>
      <c r="J33" s="207">
        <f t="shared" si="0"/>
        <v>10922.681120353467</v>
      </c>
      <c r="K33" s="35" t="e">
        <f t="shared" si="4"/>
        <v>#VALUE!</v>
      </c>
      <c r="L33" s="95" t="e">
        <f t="shared" si="3"/>
        <v>#VALUE!</v>
      </c>
      <c r="M33" s="267" t="e">
        <f t="shared" si="2"/>
        <v>#VALUE!</v>
      </c>
    </row>
    <row r="34" spans="1:13" x14ac:dyDescent="0.25">
      <c r="A34" s="41">
        <v>2044</v>
      </c>
      <c r="B34" s="41">
        <v>31</v>
      </c>
      <c r="C34" s="206">
        <f>'2 CARRILES HCM'!C34</f>
        <v>8989.0388816172926</v>
      </c>
      <c r="D34" s="206">
        <f>'2 CARRILES HCM'!D34</f>
        <v>607.51952391405985</v>
      </c>
      <c r="E34" s="206">
        <f>'2 CARRILES HCM'!E34</f>
        <v>765.02458566955693</v>
      </c>
      <c r="F34" s="206">
        <f>'2 CARRILES HCM'!F34</f>
        <v>225.00723107928144</v>
      </c>
      <c r="G34" s="206">
        <f>'2 CARRILES HCM'!G34</f>
        <v>230.63241185626347</v>
      </c>
      <c r="H34" s="206">
        <f>'2 CARRILES HCM'!H34</f>
        <v>112.50361553964072</v>
      </c>
      <c r="I34" s="206">
        <f>'2 CARRILES HCM'!I34</f>
        <v>320.63530428797606</v>
      </c>
      <c r="J34" s="207">
        <f>SUM(C34:I34)</f>
        <v>11250.361553964072</v>
      </c>
      <c r="K34" s="35" t="e">
        <f>F323</f>
        <v>#VALUE!</v>
      </c>
      <c r="L34" s="95" t="e">
        <f>IF(K34="E",60,M34)</f>
        <v>#VALUE!</v>
      </c>
      <c r="M34" s="267" t="e">
        <f>G323</f>
        <v>#VALUE!</v>
      </c>
    </row>
    <row r="35" spans="1:13" ht="15.75" thickBot="1" x14ac:dyDescent="0.3">
      <c r="A35" s="41">
        <v>2045</v>
      </c>
      <c r="B35" s="41">
        <v>32</v>
      </c>
      <c r="C35" s="206">
        <f>'2 CARRILES HCM'!C35</f>
        <v>9258.71004806581</v>
      </c>
      <c r="D35" s="206">
        <f>'2 CARRILES HCM'!D35</f>
        <v>625.74510963148157</v>
      </c>
      <c r="E35" s="206">
        <f>'2 CARRILES HCM'!E35</f>
        <v>787.97532323964344</v>
      </c>
      <c r="F35" s="206">
        <f>'2 CARRILES HCM'!F35</f>
        <v>231.75744801165985</v>
      </c>
      <c r="G35" s="206">
        <f>'2 CARRILES HCM'!G35</f>
        <v>237.55138421195133</v>
      </c>
      <c r="H35" s="206">
        <f>'2 CARRILES HCM'!H35</f>
        <v>115.87872400582992</v>
      </c>
      <c r="I35" s="206">
        <f>'2 CARRILES HCM'!I35</f>
        <v>330.25436341661526</v>
      </c>
      <c r="J35" s="207">
        <f>SUM(C35:I35)</f>
        <v>11587.872400582992</v>
      </c>
      <c r="K35" s="35" t="e">
        <f>F324</f>
        <v>#VALUE!</v>
      </c>
      <c r="L35" s="95" t="e">
        <f>IF(K35="E",60,M35)</f>
        <v>#VALUE!</v>
      </c>
      <c r="M35" s="267" t="e">
        <f>G324</f>
        <v>#VALUE!</v>
      </c>
    </row>
    <row r="36" spans="1:13" ht="15.75" thickBot="1" x14ac:dyDescent="0.3">
      <c r="A36" s="70"/>
      <c r="B36" s="71" t="s">
        <v>54</v>
      </c>
      <c r="C36" s="297">
        <f>'2 CARRILES HCM'!C36</f>
        <v>0.03</v>
      </c>
      <c r="D36" s="297">
        <f>'2 CARRILES HCM'!D36</f>
        <v>0.03</v>
      </c>
      <c r="E36" s="297">
        <f>'2 CARRILES HCM'!E36</f>
        <v>0.03</v>
      </c>
      <c r="F36" s="297">
        <f>'2 CARRILES HCM'!F36</f>
        <v>0.03</v>
      </c>
      <c r="G36" s="297">
        <f>'2 CARRILES HCM'!G36</f>
        <v>0.03</v>
      </c>
      <c r="H36" s="297">
        <f>'2 CARRILES HCM'!H36</f>
        <v>0.03</v>
      </c>
      <c r="I36" s="297">
        <f>'2 CARRILES HCM'!I36</f>
        <v>0.03</v>
      </c>
      <c r="J36" s="208">
        <f>SUM(C36:I36)/7</f>
        <v>0.03</v>
      </c>
      <c r="M36" s="268"/>
    </row>
    <row r="37" spans="1:13" x14ac:dyDescent="0.25">
      <c r="A37" s="70"/>
      <c r="B37" s="115"/>
      <c r="C37" s="209"/>
      <c r="D37" s="209"/>
      <c r="E37" s="209"/>
      <c r="F37" s="209"/>
      <c r="G37" s="209"/>
      <c r="H37" s="209"/>
      <c r="I37" s="209"/>
      <c r="J37" s="210"/>
      <c r="M37" s="268"/>
    </row>
    <row r="38" spans="1:13" x14ac:dyDescent="0.25">
      <c r="A38" s="74" t="s">
        <v>55</v>
      </c>
      <c r="B38" s="74"/>
      <c r="C38" s="74"/>
      <c r="M38" s="268"/>
    </row>
    <row r="39" spans="1:13" x14ac:dyDescent="0.25">
      <c r="A39" s="68" t="s">
        <v>18</v>
      </c>
      <c r="B39" s="68" t="s">
        <v>45</v>
      </c>
      <c r="C39" s="41" t="s">
        <v>46</v>
      </c>
      <c r="D39" s="41" t="s">
        <v>47</v>
      </c>
      <c r="E39" s="41" t="s">
        <v>48</v>
      </c>
      <c r="F39" s="41" t="s">
        <v>49</v>
      </c>
      <c r="G39" s="41" t="s">
        <v>50</v>
      </c>
      <c r="H39" s="41" t="s">
        <v>51</v>
      </c>
      <c r="I39" s="41" t="s">
        <v>52</v>
      </c>
      <c r="J39" s="41" t="s">
        <v>53</v>
      </c>
      <c r="K39" s="105" t="str">
        <f>F327</f>
        <v>NS</v>
      </c>
      <c r="L39" s="105" t="str">
        <f>G327</f>
        <v>VEL</v>
      </c>
      <c r="M39" s="268"/>
    </row>
    <row r="40" spans="1:13" x14ac:dyDescent="0.25">
      <c r="A40" s="41">
        <v>2013</v>
      </c>
      <c r="B40" s="41">
        <v>0</v>
      </c>
      <c r="C40" s="206">
        <f>'2 CARRILES HCM'!C40</f>
        <v>3595.5</v>
      </c>
      <c r="D40" s="206">
        <f>'2 CARRILES HCM'!D40</f>
        <v>243</v>
      </c>
      <c r="E40" s="206">
        <f>'2 CARRILES HCM'!E40</f>
        <v>306</v>
      </c>
      <c r="F40" s="206">
        <f>'2 CARRILES HCM'!F40</f>
        <v>90</v>
      </c>
      <c r="G40" s="206">
        <f>'2 CARRILES HCM'!G40</f>
        <v>92.25</v>
      </c>
      <c r="H40" s="206">
        <f>'2 CARRILES HCM'!H40</f>
        <v>45</v>
      </c>
      <c r="I40" s="206">
        <f>'2 CARRILES HCM'!I40</f>
        <v>128.25</v>
      </c>
      <c r="J40" s="207">
        <f t="shared" ref="J40:J70" si="5">SUM(C40:I40)</f>
        <v>4500</v>
      </c>
      <c r="K40" s="35" t="str">
        <f t="shared" ref="K40:K55" si="6">F328</f>
        <v>A</v>
      </c>
      <c r="L40" s="95">
        <f t="shared" si="3"/>
        <v>100</v>
      </c>
      <c r="M40" s="267">
        <f t="shared" ref="M40:M70" si="7">G328</f>
        <v>100</v>
      </c>
    </row>
    <row r="41" spans="1:13" x14ac:dyDescent="0.25">
      <c r="A41" s="41">
        <v>2014</v>
      </c>
      <c r="B41" s="41">
        <v>1</v>
      </c>
      <c r="C41" s="206">
        <f>'2 CARRILES HCM'!C41</f>
        <v>3703.3650000000002</v>
      </c>
      <c r="D41" s="206">
        <f>'2 CARRILES HCM'!D41</f>
        <v>250.29000000000002</v>
      </c>
      <c r="E41" s="206">
        <f>'2 CARRILES HCM'!E41</f>
        <v>315.18</v>
      </c>
      <c r="F41" s="206">
        <f>'2 CARRILES HCM'!F41</f>
        <v>92.7</v>
      </c>
      <c r="G41" s="206">
        <f>'2 CARRILES HCM'!G41</f>
        <v>95.017499999999998</v>
      </c>
      <c r="H41" s="206">
        <f>'2 CARRILES HCM'!H41</f>
        <v>46.35</v>
      </c>
      <c r="I41" s="206">
        <f>'2 CARRILES HCM'!I41</f>
        <v>132.0975</v>
      </c>
      <c r="J41" s="207">
        <f t="shared" si="5"/>
        <v>4635</v>
      </c>
      <c r="K41" s="35" t="str">
        <f t="shared" si="6"/>
        <v>A</v>
      </c>
      <c r="L41" s="95">
        <f t="shared" si="3"/>
        <v>100</v>
      </c>
      <c r="M41" s="267">
        <f t="shared" si="7"/>
        <v>100</v>
      </c>
    </row>
    <row r="42" spans="1:13" x14ac:dyDescent="0.25">
      <c r="A42" s="41">
        <v>2015</v>
      </c>
      <c r="B42" s="41">
        <v>2</v>
      </c>
      <c r="C42" s="206">
        <f>'2 CARRILES HCM'!C42</f>
        <v>3814.4659499999998</v>
      </c>
      <c r="D42" s="206">
        <f>'2 CARRILES HCM'!D42</f>
        <v>257.7987</v>
      </c>
      <c r="E42" s="206">
        <f>'2 CARRILES HCM'!E42</f>
        <v>324.6354</v>
      </c>
      <c r="F42" s="206">
        <f>'2 CARRILES HCM'!F42</f>
        <v>95.480999999999995</v>
      </c>
      <c r="G42" s="206">
        <f>'2 CARRILES HCM'!G42</f>
        <v>97.868024999999989</v>
      </c>
      <c r="H42" s="206">
        <f>'2 CARRILES HCM'!H42</f>
        <v>47.740499999999997</v>
      </c>
      <c r="I42" s="206">
        <f>'2 CARRILES HCM'!I42</f>
        <v>136.06042499999998</v>
      </c>
      <c r="J42" s="207">
        <f t="shared" si="5"/>
        <v>4774.0499999999984</v>
      </c>
      <c r="K42" s="35" t="str">
        <f t="shared" si="6"/>
        <v>A</v>
      </c>
      <c r="L42" s="95">
        <f t="shared" si="3"/>
        <v>100</v>
      </c>
      <c r="M42" s="267">
        <f t="shared" si="7"/>
        <v>100</v>
      </c>
    </row>
    <row r="43" spans="1:13" x14ac:dyDescent="0.25">
      <c r="A43" s="41">
        <v>2016</v>
      </c>
      <c r="B43" s="41">
        <v>3</v>
      </c>
      <c r="C43" s="206">
        <f>'2 CARRILES HCM'!C43</f>
        <v>3928.8999285</v>
      </c>
      <c r="D43" s="206">
        <f>'2 CARRILES HCM'!D43</f>
        <v>265.53266100000002</v>
      </c>
      <c r="E43" s="206">
        <f>'2 CARRILES HCM'!E43</f>
        <v>334.37446199999999</v>
      </c>
      <c r="F43" s="206">
        <f>'2 CARRILES HCM'!F43</f>
        <v>98.345429999999993</v>
      </c>
      <c r="G43" s="206">
        <f>'2 CARRILES HCM'!G43</f>
        <v>100.80406575000001</v>
      </c>
      <c r="H43" s="206">
        <f>'2 CARRILES HCM'!H43</f>
        <v>49.172714999999997</v>
      </c>
      <c r="I43" s="206">
        <f>'2 CARRILES HCM'!I43</f>
        <v>140.14223774999999</v>
      </c>
      <c r="J43" s="207">
        <f t="shared" si="5"/>
        <v>4917.2714999999998</v>
      </c>
      <c r="K43" s="35" t="str">
        <f t="shared" si="6"/>
        <v>A</v>
      </c>
      <c r="L43" s="95">
        <f t="shared" si="3"/>
        <v>100</v>
      </c>
      <c r="M43" s="267">
        <f t="shared" si="7"/>
        <v>100</v>
      </c>
    </row>
    <row r="44" spans="1:13" x14ac:dyDescent="0.25">
      <c r="A44" s="41">
        <v>2017</v>
      </c>
      <c r="B44" s="41">
        <v>4</v>
      </c>
      <c r="C44" s="206">
        <f>'2 CARRILES HCM'!C44</f>
        <v>4046.7669263549997</v>
      </c>
      <c r="D44" s="206">
        <f>'2 CARRILES HCM'!D44</f>
        <v>273.49864083</v>
      </c>
      <c r="E44" s="206">
        <f>'2 CARRILES HCM'!E44</f>
        <v>344.40569585999998</v>
      </c>
      <c r="F44" s="206">
        <f>'2 CARRILES HCM'!F44</f>
        <v>101.2957929</v>
      </c>
      <c r="G44" s="206">
        <f>'2 CARRILES HCM'!G44</f>
        <v>103.82818772249999</v>
      </c>
      <c r="H44" s="206">
        <f>'2 CARRILES HCM'!H44</f>
        <v>50.647896449999998</v>
      </c>
      <c r="I44" s="206">
        <f>'2 CARRILES HCM'!I44</f>
        <v>144.3465048825</v>
      </c>
      <c r="J44" s="207">
        <f t="shared" si="5"/>
        <v>5064.7896450000007</v>
      </c>
      <c r="K44" s="35" t="str">
        <f t="shared" si="6"/>
        <v>A</v>
      </c>
      <c r="L44" s="95">
        <f t="shared" si="3"/>
        <v>100</v>
      </c>
      <c r="M44" s="267">
        <f t="shared" si="7"/>
        <v>100</v>
      </c>
    </row>
    <row r="45" spans="1:13" x14ac:dyDescent="0.25">
      <c r="A45" s="41">
        <v>2018</v>
      </c>
      <c r="B45" s="41">
        <v>5</v>
      </c>
      <c r="C45" s="206">
        <f>'2 CARRILES HCM'!C45</f>
        <v>4168.1699341456497</v>
      </c>
      <c r="D45" s="206">
        <f>'2 CARRILES HCM'!D45</f>
        <v>281.70360005489994</v>
      </c>
      <c r="E45" s="206">
        <f>'2 CARRILES HCM'!E45</f>
        <v>354.73786673579997</v>
      </c>
      <c r="F45" s="206">
        <f>'2 CARRILES HCM'!F45</f>
        <v>104.33466668699998</v>
      </c>
      <c r="G45" s="206">
        <f>'2 CARRILES HCM'!G45</f>
        <v>106.94303335417499</v>
      </c>
      <c r="H45" s="206">
        <f>'2 CARRILES HCM'!H45</f>
        <v>52.16733334349999</v>
      </c>
      <c r="I45" s="206">
        <f>'2 CARRILES HCM'!I45</f>
        <v>148.67690002897498</v>
      </c>
      <c r="J45" s="207">
        <f t="shared" si="5"/>
        <v>5216.7333343499995</v>
      </c>
      <c r="K45" s="35" t="str">
        <f t="shared" si="6"/>
        <v>A</v>
      </c>
      <c r="L45" s="95">
        <f t="shared" si="3"/>
        <v>100</v>
      </c>
      <c r="M45" s="267">
        <f t="shared" si="7"/>
        <v>100</v>
      </c>
    </row>
    <row r="46" spans="1:13" x14ac:dyDescent="0.25">
      <c r="A46" s="41">
        <v>2019</v>
      </c>
      <c r="B46" s="41">
        <v>6</v>
      </c>
      <c r="C46" s="206">
        <f>'2 CARRILES HCM'!C46</f>
        <v>4293.2150321700192</v>
      </c>
      <c r="D46" s="206">
        <f>'2 CARRILES HCM'!D46</f>
        <v>290.15470805654695</v>
      </c>
      <c r="E46" s="206">
        <f>'2 CARRILES HCM'!E46</f>
        <v>365.38000273787395</v>
      </c>
      <c r="F46" s="206">
        <f>'2 CARRILES HCM'!F46</f>
        <v>107.46470668760999</v>
      </c>
      <c r="G46" s="206">
        <f>'2 CARRILES HCM'!G46</f>
        <v>110.15132435480024</v>
      </c>
      <c r="H46" s="206">
        <f>'2 CARRILES HCM'!H46</f>
        <v>53.732353343804995</v>
      </c>
      <c r="I46" s="206">
        <f>'2 CARRILES HCM'!I46</f>
        <v>153.13720702984423</v>
      </c>
      <c r="J46" s="207">
        <f t="shared" si="5"/>
        <v>5373.2353343804989</v>
      </c>
      <c r="K46" s="35" t="str">
        <f t="shared" si="6"/>
        <v>A</v>
      </c>
      <c r="L46" s="95">
        <f t="shared" si="3"/>
        <v>100</v>
      </c>
      <c r="M46" s="267">
        <f t="shared" si="7"/>
        <v>100</v>
      </c>
    </row>
    <row r="47" spans="1:13" x14ac:dyDescent="0.25">
      <c r="A47" s="41">
        <v>2020</v>
      </c>
      <c r="B47" s="41">
        <v>7</v>
      </c>
      <c r="C47" s="206">
        <f>'2 CARRILES HCM'!C47</f>
        <v>4422.0114831351202</v>
      </c>
      <c r="D47" s="206">
        <f>'2 CARRILES HCM'!D47</f>
        <v>298.85934929824339</v>
      </c>
      <c r="E47" s="206">
        <f>'2 CARRILES HCM'!E47</f>
        <v>376.34140282001022</v>
      </c>
      <c r="F47" s="206">
        <f>'2 CARRILES HCM'!F47</f>
        <v>110.68864788823829</v>
      </c>
      <c r="G47" s="206">
        <f>'2 CARRILES HCM'!G47</f>
        <v>113.45586408544426</v>
      </c>
      <c r="H47" s="206">
        <f>'2 CARRILES HCM'!H47</f>
        <v>55.344323944119147</v>
      </c>
      <c r="I47" s="206">
        <f>'2 CARRILES HCM'!I47</f>
        <v>157.73132324073958</v>
      </c>
      <c r="J47" s="207">
        <f t="shared" si="5"/>
        <v>5534.4323944119151</v>
      </c>
      <c r="K47" s="35" t="str">
        <f t="shared" si="6"/>
        <v>A</v>
      </c>
      <c r="L47" s="95">
        <f t="shared" si="3"/>
        <v>100</v>
      </c>
      <c r="M47" s="267">
        <f t="shared" si="7"/>
        <v>100</v>
      </c>
    </row>
    <row r="48" spans="1:13" x14ac:dyDescent="0.25">
      <c r="A48" s="41">
        <v>2021</v>
      </c>
      <c r="B48" s="41">
        <v>8</v>
      </c>
      <c r="C48" s="206">
        <f>'2 CARRILES HCM'!C48</f>
        <v>4554.6718276291731</v>
      </c>
      <c r="D48" s="206">
        <f>'2 CARRILES HCM'!D48</f>
        <v>307.82512977719068</v>
      </c>
      <c r="E48" s="206">
        <f>'2 CARRILES HCM'!E48</f>
        <v>387.63164490461048</v>
      </c>
      <c r="F48" s="206">
        <f>'2 CARRILES HCM'!F48</f>
        <v>114.00930732488544</v>
      </c>
      <c r="G48" s="206">
        <f>'2 CARRILES HCM'!G48</f>
        <v>116.85954000800757</v>
      </c>
      <c r="H48" s="206">
        <f>'2 CARRILES HCM'!H48</f>
        <v>57.00465366244272</v>
      </c>
      <c r="I48" s="206">
        <f>'2 CARRILES HCM'!I48</f>
        <v>162.46326293796173</v>
      </c>
      <c r="J48" s="207">
        <f t="shared" si="5"/>
        <v>5700.4653662442724</v>
      </c>
      <c r="K48" s="35" t="str">
        <f t="shared" si="6"/>
        <v>A</v>
      </c>
      <c r="L48" s="95">
        <f t="shared" si="3"/>
        <v>100</v>
      </c>
      <c r="M48" s="267">
        <f t="shared" si="7"/>
        <v>100</v>
      </c>
    </row>
    <row r="49" spans="1:13" x14ac:dyDescent="0.25">
      <c r="A49" s="41">
        <v>2022</v>
      </c>
      <c r="B49" s="41">
        <v>9</v>
      </c>
      <c r="C49" s="206">
        <f>'2 CARRILES HCM'!C49</f>
        <v>4691.3119824580481</v>
      </c>
      <c r="D49" s="206">
        <f>'2 CARRILES HCM'!D49</f>
        <v>317.05988367050639</v>
      </c>
      <c r="E49" s="206">
        <f>'2 CARRILES HCM'!E49</f>
        <v>399.26059425174878</v>
      </c>
      <c r="F49" s="206">
        <f>'2 CARRILES HCM'!F49</f>
        <v>117.429586544632</v>
      </c>
      <c r="G49" s="206">
        <f>'2 CARRILES HCM'!G49</f>
        <v>120.36532620824781</v>
      </c>
      <c r="H49" s="206">
        <f>'2 CARRILES HCM'!H49</f>
        <v>58.714793272316001</v>
      </c>
      <c r="I49" s="206">
        <f>'2 CARRILES HCM'!I49</f>
        <v>167.33716082610061</v>
      </c>
      <c r="J49" s="207">
        <f t="shared" si="5"/>
        <v>5871.4793272316001</v>
      </c>
      <c r="K49" s="35" t="str">
        <f t="shared" si="6"/>
        <v>A</v>
      </c>
      <c r="L49" s="95">
        <f t="shared" si="3"/>
        <v>100</v>
      </c>
      <c r="M49" s="267">
        <f t="shared" si="7"/>
        <v>100</v>
      </c>
    </row>
    <row r="50" spans="1:13" x14ac:dyDescent="0.25">
      <c r="A50" s="41">
        <v>2023</v>
      </c>
      <c r="B50" s="41">
        <v>10</v>
      </c>
      <c r="C50" s="206">
        <f>'2 CARRILES HCM'!C50</f>
        <v>4832.0513419317895</v>
      </c>
      <c r="D50" s="206">
        <f>'2 CARRILES HCM'!D50</f>
        <v>326.57168018062157</v>
      </c>
      <c r="E50" s="206">
        <f>'2 CARRILES HCM'!E50</f>
        <v>411.23841207930127</v>
      </c>
      <c r="F50" s="206">
        <f>'2 CARRILES HCM'!F50</f>
        <v>120.95247414097096</v>
      </c>
      <c r="G50" s="206">
        <f>'2 CARRILES HCM'!G50</f>
        <v>123.97628599449523</v>
      </c>
      <c r="H50" s="206">
        <f>'2 CARRILES HCM'!H50</f>
        <v>60.476237070485482</v>
      </c>
      <c r="I50" s="206">
        <f>'2 CARRILES HCM'!I50</f>
        <v>172.35727565088362</v>
      </c>
      <c r="J50" s="207">
        <f t="shared" si="5"/>
        <v>6047.6237070485486</v>
      </c>
      <c r="K50" s="35" t="str">
        <f t="shared" si="6"/>
        <v>A</v>
      </c>
      <c r="L50" s="95">
        <f t="shared" si="3"/>
        <v>100</v>
      </c>
      <c r="M50" s="267">
        <f t="shared" si="7"/>
        <v>100</v>
      </c>
    </row>
    <row r="51" spans="1:13" x14ac:dyDescent="0.25">
      <c r="A51" s="41">
        <v>2024</v>
      </c>
      <c r="B51" s="41">
        <v>11</v>
      </c>
      <c r="C51" s="206">
        <f>'2 CARRILES HCM'!C51</f>
        <v>4977.0128821897433</v>
      </c>
      <c r="D51" s="206">
        <f>'2 CARRILES HCM'!D51</f>
        <v>336.36883058604025</v>
      </c>
      <c r="E51" s="206">
        <f>'2 CARRILES HCM'!E51</f>
        <v>423.57556444168034</v>
      </c>
      <c r="F51" s="206">
        <f>'2 CARRILES HCM'!F51</f>
        <v>124.58104836520009</v>
      </c>
      <c r="G51" s="206">
        <f>'2 CARRILES HCM'!G51</f>
        <v>127.6955745743301</v>
      </c>
      <c r="H51" s="206">
        <f>'2 CARRILES HCM'!H51</f>
        <v>62.290524182600045</v>
      </c>
      <c r="I51" s="206">
        <f>'2 CARRILES HCM'!I51</f>
        <v>177.52799392041013</v>
      </c>
      <c r="J51" s="207">
        <f t="shared" si="5"/>
        <v>6229.0524182600047</v>
      </c>
      <c r="K51" s="35" t="str">
        <f t="shared" si="6"/>
        <v>A</v>
      </c>
      <c r="L51" s="95">
        <f t="shared" si="3"/>
        <v>100</v>
      </c>
      <c r="M51" s="267">
        <f t="shared" si="7"/>
        <v>100</v>
      </c>
    </row>
    <row r="52" spans="1:13" x14ac:dyDescent="0.25">
      <c r="A52" s="41">
        <v>2025</v>
      </c>
      <c r="B52" s="41">
        <v>12</v>
      </c>
      <c r="C52" s="206">
        <f>'2 CARRILES HCM'!C52</f>
        <v>5126.3232686554356</v>
      </c>
      <c r="D52" s="206">
        <f>'2 CARRILES HCM'!D52</f>
        <v>346.4598955036214</v>
      </c>
      <c r="E52" s="206">
        <f>'2 CARRILES HCM'!E52</f>
        <v>436.28283137493065</v>
      </c>
      <c r="F52" s="206">
        <f>'2 CARRILES HCM'!F52</f>
        <v>128.31847981615607</v>
      </c>
      <c r="G52" s="206">
        <f>'2 CARRILES HCM'!G52</f>
        <v>131.52644181155998</v>
      </c>
      <c r="H52" s="206">
        <f>'2 CARRILES HCM'!H52</f>
        <v>64.159239908078035</v>
      </c>
      <c r="I52" s="206">
        <f>'2 CARRILES HCM'!I52</f>
        <v>182.85383373802242</v>
      </c>
      <c r="J52" s="207">
        <f t="shared" si="5"/>
        <v>6415.9239908078052</v>
      </c>
      <c r="K52" s="35" t="str">
        <f t="shared" si="6"/>
        <v>A</v>
      </c>
      <c r="L52" s="95">
        <f t="shared" si="3"/>
        <v>100</v>
      </c>
      <c r="M52" s="267">
        <f t="shared" si="7"/>
        <v>100</v>
      </c>
    </row>
    <row r="53" spans="1:13" x14ac:dyDescent="0.25">
      <c r="A53" s="41">
        <v>2026</v>
      </c>
      <c r="B53" s="41">
        <v>13</v>
      </c>
      <c r="C53" s="206">
        <f>'2 CARRILES HCM'!C53</f>
        <v>5280.1129667150981</v>
      </c>
      <c r="D53" s="206">
        <f>'2 CARRILES HCM'!D53</f>
        <v>356.85369236873004</v>
      </c>
      <c r="E53" s="206">
        <f>'2 CARRILES HCM'!E53</f>
        <v>449.37131631617854</v>
      </c>
      <c r="F53" s="206">
        <f>'2 CARRILES HCM'!F53</f>
        <v>132.16803421064074</v>
      </c>
      <c r="G53" s="206">
        <f>'2 CARRILES HCM'!G53</f>
        <v>135.47223506590677</v>
      </c>
      <c r="H53" s="206">
        <f>'2 CARRILES HCM'!H53</f>
        <v>66.08401710532037</v>
      </c>
      <c r="I53" s="206">
        <f>'2 CARRILES HCM'!I53</f>
        <v>188.33944875016309</v>
      </c>
      <c r="J53" s="207">
        <f t="shared" si="5"/>
        <v>6608.4017105320372</v>
      </c>
      <c r="K53" s="35" t="str">
        <f t="shared" si="6"/>
        <v>A</v>
      </c>
      <c r="L53" s="95">
        <f t="shared" si="3"/>
        <v>100</v>
      </c>
      <c r="M53" s="267">
        <f t="shared" si="7"/>
        <v>100</v>
      </c>
    </row>
    <row r="54" spans="1:13" x14ac:dyDescent="0.25">
      <c r="A54" s="41">
        <v>2027</v>
      </c>
      <c r="B54" s="41">
        <v>14</v>
      </c>
      <c r="C54" s="206">
        <f>'2 CARRILES HCM'!C54</f>
        <v>5438.5163557165515</v>
      </c>
      <c r="D54" s="206">
        <f>'2 CARRILES HCM'!D54</f>
        <v>367.55930313979195</v>
      </c>
      <c r="E54" s="206">
        <f>'2 CARRILES HCM'!E54</f>
        <v>462.85245580566396</v>
      </c>
      <c r="F54" s="206">
        <f>'2 CARRILES HCM'!F54</f>
        <v>136.13307523696</v>
      </c>
      <c r="G54" s="206">
        <f>'2 CARRILES HCM'!G54</f>
        <v>139.53640211788399</v>
      </c>
      <c r="H54" s="206">
        <f>'2 CARRILES HCM'!H54</f>
        <v>68.066537618479998</v>
      </c>
      <c r="I54" s="206">
        <f>'2 CARRILES HCM'!I54</f>
        <v>193.989632212668</v>
      </c>
      <c r="J54" s="207">
        <f t="shared" si="5"/>
        <v>6806.6537618479997</v>
      </c>
      <c r="K54" s="35" t="str">
        <f t="shared" si="6"/>
        <v>A</v>
      </c>
      <c r="L54" s="95">
        <f t="shared" si="3"/>
        <v>100</v>
      </c>
      <c r="M54" s="267">
        <f t="shared" si="7"/>
        <v>100</v>
      </c>
    </row>
    <row r="55" spans="1:13" x14ac:dyDescent="0.25">
      <c r="A55" s="41">
        <v>2028</v>
      </c>
      <c r="B55" s="41">
        <v>15</v>
      </c>
      <c r="C55" s="206">
        <f>'2 CARRILES HCM'!C55</f>
        <v>5601.6718463880488</v>
      </c>
      <c r="D55" s="206">
        <f>'2 CARRILES HCM'!D55</f>
        <v>378.58608223398574</v>
      </c>
      <c r="E55" s="206">
        <f>'2 CARRILES HCM'!E55</f>
        <v>476.73802947983393</v>
      </c>
      <c r="F55" s="206">
        <f>'2 CARRILES HCM'!F55</f>
        <v>140.2170674940688</v>
      </c>
      <c r="G55" s="206">
        <f>'2 CARRILES HCM'!G55</f>
        <v>143.72249418142053</v>
      </c>
      <c r="H55" s="206">
        <f>'2 CARRILES HCM'!H55</f>
        <v>70.1085337470344</v>
      </c>
      <c r="I55" s="206">
        <f>'2 CARRILES HCM'!I55</f>
        <v>199.80932117904803</v>
      </c>
      <c r="J55" s="207">
        <f t="shared" si="5"/>
        <v>7010.8533747034398</v>
      </c>
      <c r="K55" s="35" t="str">
        <f t="shared" si="6"/>
        <v>A</v>
      </c>
      <c r="L55" s="95">
        <f t="shared" si="3"/>
        <v>100</v>
      </c>
      <c r="M55" s="267">
        <f t="shared" si="7"/>
        <v>100</v>
      </c>
    </row>
    <row r="56" spans="1:13" x14ac:dyDescent="0.25">
      <c r="A56" s="41">
        <v>2029</v>
      </c>
      <c r="B56" s="41">
        <v>16</v>
      </c>
      <c r="C56" s="206">
        <f>'2 CARRILES HCM'!C56</f>
        <v>5769.722001779689</v>
      </c>
      <c r="D56" s="206">
        <f>'2 CARRILES HCM'!D56</f>
        <v>389.94366470100528</v>
      </c>
      <c r="E56" s="206">
        <f>'2 CARRILES HCM'!E56</f>
        <v>491.04017036422886</v>
      </c>
      <c r="F56" s="206">
        <f>'2 CARRILES HCM'!F56</f>
        <v>144.42357951889085</v>
      </c>
      <c r="G56" s="206">
        <f>'2 CARRILES HCM'!G56</f>
        <v>148.0341690068631</v>
      </c>
      <c r="H56" s="206">
        <f>'2 CARRILES HCM'!H56</f>
        <v>72.211789759445423</v>
      </c>
      <c r="I56" s="206">
        <f>'2 CARRILES HCM'!I56</f>
        <v>205.80360081441944</v>
      </c>
      <c r="J56" s="207">
        <f t="shared" si="5"/>
        <v>7221.1789759445419</v>
      </c>
      <c r="K56" s="35" t="str">
        <f t="shared" ref="K56:K70" si="8">F344</f>
        <v>A</v>
      </c>
      <c r="L56" s="95">
        <f t="shared" si="3"/>
        <v>100</v>
      </c>
      <c r="M56" s="267">
        <f t="shared" si="7"/>
        <v>100</v>
      </c>
    </row>
    <row r="57" spans="1:13" x14ac:dyDescent="0.25">
      <c r="A57" s="41">
        <v>2030</v>
      </c>
      <c r="B57" s="41">
        <v>17</v>
      </c>
      <c r="C57" s="206">
        <f>'2 CARRILES HCM'!C57</f>
        <v>5942.81366183308</v>
      </c>
      <c r="D57" s="206">
        <f>'2 CARRILES HCM'!D57</f>
        <v>401.64197464203539</v>
      </c>
      <c r="E57" s="206">
        <f>'2 CARRILES HCM'!E57</f>
        <v>505.77137547515571</v>
      </c>
      <c r="F57" s="206">
        <f>'2 CARRILES HCM'!F57</f>
        <v>148.75628690445757</v>
      </c>
      <c r="G57" s="206">
        <f>'2 CARRILES HCM'!G57</f>
        <v>152.47519407706901</v>
      </c>
      <c r="H57" s="206">
        <f>'2 CARRILES HCM'!H57</f>
        <v>74.378143452228784</v>
      </c>
      <c r="I57" s="206">
        <f>'2 CARRILES HCM'!I57</f>
        <v>211.97770883885204</v>
      </c>
      <c r="J57" s="207">
        <f t="shared" si="5"/>
        <v>7437.8143452228787</v>
      </c>
      <c r="K57" s="35" t="str">
        <f t="shared" si="8"/>
        <v>A</v>
      </c>
      <c r="L57" s="95">
        <f t="shared" si="3"/>
        <v>100</v>
      </c>
      <c r="M57" s="267">
        <f t="shared" si="7"/>
        <v>100</v>
      </c>
    </row>
    <row r="58" spans="1:13" x14ac:dyDescent="0.25">
      <c r="A58" s="41">
        <v>2031</v>
      </c>
      <c r="B58" s="41">
        <v>18</v>
      </c>
      <c r="C58" s="206">
        <f>'2 CARRILES HCM'!C58</f>
        <v>6121.0980716880722</v>
      </c>
      <c r="D58" s="206">
        <f>'2 CARRILES HCM'!D58</f>
        <v>413.69123388129651</v>
      </c>
      <c r="E58" s="206">
        <f>'2 CARRILES HCM'!E58</f>
        <v>520.94451673941035</v>
      </c>
      <c r="F58" s="206">
        <f>'2 CARRILES HCM'!F58</f>
        <v>153.21897551159128</v>
      </c>
      <c r="G58" s="206">
        <f>'2 CARRILES HCM'!G58</f>
        <v>157.04944989938107</v>
      </c>
      <c r="H58" s="206">
        <f>'2 CARRILES HCM'!H58</f>
        <v>76.609487755795641</v>
      </c>
      <c r="I58" s="206">
        <f>'2 CARRILES HCM'!I58</f>
        <v>218.3370401040176</v>
      </c>
      <c r="J58" s="207">
        <f t="shared" si="5"/>
        <v>7660.9487755795644</v>
      </c>
      <c r="K58" s="35" t="str">
        <f t="shared" si="8"/>
        <v>A</v>
      </c>
      <c r="L58" s="95">
        <f t="shared" si="3"/>
        <v>100</v>
      </c>
      <c r="M58" s="267">
        <f t="shared" si="7"/>
        <v>100</v>
      </c>
    </row>
    <row r="59" spans="1:13" x14ac:dyDescent="0.25">
      <c r="A59" s="41">
        <v>2032</v>
      </c>
      <c r="B59" s="41">
        <v>19</v>
      </c>
      <c r="C59" s="206">
        <f>'2 CARRILES HCM'!C59</f>
        <v>6304.7310138387138</v>
      </c>
      <c r="D59" s="206">
        <f>'2 CARRILES HCM'!D59</f>
        <v>426.10197089773538</v>
      </c>
      <c r="E59" s="206">
        <f>'2 CARRILES HCM'!E59</f>
        <v>536.57285224159273</v>
      </c>
      <c r="F59" s="206">
        <f>'2 CARRILES HCM'!F59</f>
        <v>157.81554477693902</v>
      </c>
      <c r="G59" s="206">
        <f>'2 CARRILES HCM'!G59</f>
        <v>161.7609333963625</v>
      </c>
      <c r="H59" s="206">
        <f>'2 CARRILES HCM'!H59</f>
        <v>78.90777238846951</v>
      </c>
      <c r="I59" s="206">
        <f>'2 CARRILES HCM'!I59</f>
        <v>224.88715130713811</v>
      </c>
      <c r="J59" s="207">
        <f t="shared" si="5"/>
        <v>7890.7772388469511</v>
      </c>
      <c r="K59" s="35" t="str">
        <f t="shared" si="8"/>
        <v>A</v>
      </c>
      <c r="L59" s="95">
        <f t="shared" si="3"/>
        <v>100</v>
      </c>
      <c r="M59" s="267">
        <f t="shared" si="7"/>
        <v>100</v>
      </c>
    </row>
    <row r="60" spans="1:13" x14ac:dyDescent="0.25">
      <c r="A60" s="41">
        <v>2033</v>
      </c>
      <c r="B60" s="41">
        <v>20</v>
      </c>
      <c r="C60" s="206">
        <f>'2 CARRILES HCM'!C60</f>
        <v>6493.8729442538752</v>
      </c>
      <c r="D60" s="206">
        <f>'2 CARRILES HCM'!D60</f>
        <v>438.8850300246674</v>
      </c>
      <c r="E60" s="206">
        <f>'2 CARRILES HCM'!E60</f>
        <v>552.67003780884045</v>
      </c>
      <c r="F60" s="206">
        <f>'2 CARRILES HCM'!F60</f>
        <v>162.55001112024721</v>
      </c>
      <c r="G60" s="206">
        <f>'2 CARRILES HCM'!G60</f>
        <v>166.61376139825336</v>
      </c>
      <c r="H60" s="206">
        <f>'2 CARRILES HCM'!H60</f>
        <v>81.275005560123603</v>
      </c>
      <c r="I60" s="206">
        <f>'2 CARRILES HCM'!I60</f>
        <v>231.63376584635225</v>
      </c>
      <c r="J60" s="207">
        <f t="shared" si="5"/>
        <v>8127.5005560123609</v>
      </c>
      <c r="K60" s="35" t="str">
        <f t="shared" si="8"/>
        <v>A</v>
      </c>
      <c r="L60" s="95">
        <f t="shared" si="3"/>
        <v>100</v>
      </c>
      <c r="M60" s="267">
        <f t="shared" si="7"/>
        <v>100</v>
      </c>
    </row>
    <row r="61" spans="1:13" x14ac:dyDescent="0.25">
      <c r="A61" s="41">
        <v>2034</v>
      </c>
      <c r="B61" s="41">
        <v>21</v>
      </c>
      <c r="C61" s="206">
        <f>'2 CARRILES HCM'!C61</f>
        <v>6688.6891325814904</v>
      </c>
      <c r="D61" s="206">
        <f>'2 CARRILES HCM'!D61</f>
        <v>452.05158092540739</v>
      </c>
      <c r="E61" s="206">
        <f>'2 CARRILES HCM'!E61</f>
        <v>569.25013894310564</v>
      </c>
      <c r="F61" s="206">
        <f>'2 CARRILES HCM'!F61</f>
        <v>167.42651145385457</v>
      </c>
      <c r="G61" s="206">
        <f>'2 CARRILES HCM'!G61</f>
        <v>171.61217424020094</v>
      </c>
      <c r="H61" s="206">
        <f>'2 CARRILES HCM'!H61</f>
        <v>83.713255726927287</v>
      </c>
      <c r="I61" s="206">
        <f>'2 CARRILES HCM'!I61</f>
        <v>238.58277882174278</v>
      </c>
      <c r="J61" s="207">
        <f t="shared" si="5"/>
        <v>8371.3255726927291</v>
      </c>
      <c r="K61" s="35" t="str">
        <f t="shared" si="8"/>
        <v>A</v>
      </c>
      <c r="L61" s="95">
        <f t="shared" si="3"/>
        <v>100</v>
      </c>
      <c r="M61" s="267">
        <f t="shared" si="7"/>
        <v>100</v>
      </c>
    </row>
    <row r="62" spans="1:13" x14ac:dyDescent="0.25">
      <c r="A62" s="41">
        <v>2035</v>
      </c>
      <c r="B62" s="41">
        <v>22</v>
      </c>
      <c r="C62" s="206">
        <f>'2 CARRILES HCM'!C62</f>
        <v>6889.3498065589365</v>
      </c>
      <c r="D62" s="206">
        <f>'2 CARRILES HCM'!D62</f>
        <v>465.61312835316966</v>
      </c>
      <c r="E62" s="206">
        <f>'2 CARRILES HCM'!E62</f>
        <v>586.32764311139886</v>
      </c>
      <c r="F62" s="206">
        <f>'2 CARRILES HCM'!F62</f>
        <v>172.44930679747023</v>
      </c>
      <c r="G62" s="206">
        <f>'2 CARRILES HCM'!G62</f>
        <v>176.760539467407</v>
      </c>
      <c r="H62" s="206">
        <f>'2 CARRILES HCM'!H62</f>
        <v>86.224653398735114</v>
      </c>
      <c r="I62" s="206">
        <f>'2 CARRILES HCM'!I62</f>
        <v>245.74026218639509</v>
      </c>
      <c r="J62" s="207">
        <f t="shared" si="5"/>
        <v>8622.4653398735118</v>
      </c>
      <c r="K62" s="35" t="str">
        <f t="shared" si="8"/>
        <v>A</v>
      </c>
      <c r="L62" s="95">
        <f t="shared" si="3"/>
        <v>100</v>
      </c>
      <c r="M62" s="267">
        <f t="shared" si="7"/>
        <v>100</v>
      </c>
    </row>
    <row r="63" spans="1:13" x14ac:dyDescent="0.25">
      <c r="A63" s="41">
        <v>2036</v>
      </c>
      <c r="B63" s="41">
        <v>23</v>
      </c>
      <c r="C63" s="206">
        <f>'2 CARRILES HCM'!C63</f>
        <v>7096.030300755705</v>
      </c>
      <c r="D63" s="206">
        <f>'2 CARRILES HCM'!D63</f>
        <v>479.58152220376479</v>
      </c>
      <c r="E63" s="206">
        <f>'2 CARRILES HCM'!E63</f>
        <v>603.91747240474081</v>
      </c>
      <c r="F63" s="206">
        <f>'2 CARRILES HCM'!F63</f>
        <v>177.62278600139436</v>
      </c>
      <c r="G63" s="206">
        <f>'2 CARRILES HCM'!G63</f>
        <v>182.06335565142922</v>
      </c>
      <c r="H63" s="206">
        <f>'2 CARRILES HCM'!H63</f>
        <v>88.81139300069718</v>
      </c>
      <c r="I63" s="206">
        <f>'2 CARRILES HCM'!I63</f>
        <v>253.11247005198697</v>
      </c>
      <c r="J63" s="207">
        <f t="shared" si="5"/>
        <v>8881.1393000697171</v>
      </c>
      <c r="K63" s="35" t="str">
        <f t="shared" si="8"/>
        <v>A</v>
      </c>
      <c r="L63" s="95">
        <f t="shared" si="3"/>
        <v>100</v>
      </c>
      <c r="M63" s="267">
        <f t="shared" si="7"/>
        <v>100</v>
      </c>
    </row>
    <row r="64" spans="1:13" x14ac:dyDescent="0.25">
      <c r="A64" s="41">
        <v>2037</v>
      </c>
      <c r="B64" s="41">
        <v>24</v>
      </c>
      <c r="C64" s="206">
        <f>'2 CARRILES HCM'!C64</f>
        <v>7308.9112097783745</v>
      </c>
      <c r="D64" s="206">
        <f>'2 CARRILES HCM'!D64</f>
        <v>493.96896786987764</v>
      </c>
      <c r="E64" s="206">
        <f>'2 CARRILES HCM'!E64</f>
        <v>622.03499657688292</v>
      </c>
      <c r="F64" s="206">
        <f>'2 CARRILES HCM'!F64</f>
        <v>182.95146958143616</v>
      </c>
      <c r="G64" s="206">
        <f>'2 CARRILES HCM'!G64</f>
        <v>187.52525632097206</v>
      </c>
      <c r="H64" s="206">
        <f>'2 CARRILES HCM'!H64</f>
        <v>91.475734790718079</v>
      </c>
      <c r="I64" s="206">
        <f>'2 CARRILES HCM'!I64</f>
        <v>260.70584415354654</v>
      </c>
      <c r="J64" s="207">
        <f t="shared" si="5"/>
        <v>9147.5734790718088</v>
      </c>
      <c r="K64" s="35" t="str">
        <f t="shared" si="8"/>
        <v>A</v>
      </c>
      <c r="L64" s="95">
        <f t="shared" si="3"/>
        <v>100</v>
      </c>
      <c r="M64" s="267">
        <f t="shared" si="7"/>
        <v>100</v>
      </c>
    </row>
    <row r="65" spans="1:13" x14ac:dyDescent="0.25">
      <c r="A65" s="41">
        <v>2038</v>
      </c>
      <c r="B65" s="41">
        <v>25</v>
      </c>
      <c r="C65" s="206">
        <f>'2 CARRILES HCM'!C65</f>
        <v>7528.1785460717256</v>
      </c>
      <c r="D65" s="206">
        <f>'2 CARRILES HCM'!D65</f>
        <v>508.78803690597397</v>
      </c>
      <c r="E65" s="206">
        <f>'2 CARRILES HCM'!E65</f>
        <v>640.69604647418942</v>
      </c>
      <c r="F65" s="206">
        <f>'2 CARRILES HCM'!F65</f>
        <v>188.44001366887923</v>
      </c>
      <c r="G65" s="206">
        <f>'2 CARRILES HCM'!G65</f>
        <v>193.15101401060122</v>
      </c>
      <c r="H65" s="206">
        <f>'2 CARRILES HCM'!H65</f>
        <v>94.220006834439616</v>
      </c>
      <c r="I65" s="206">
        <f>'2 CARRILES HCM'!I65</f>
        <v>268.52701947815291</v>
      </c>
      <c r="J65" s="207">
        <f t="shared" si="5"/>
        <v>9422.0006834439628</v>
      </c>
      <c r="K65" s="35" t="str">
        <f t="shared" si="8"/>
        <v>A</v>
      </c>
      <c r="L65" s="95">
        <f t="shared" si="3"/>
        <v>100</v>
      </c>
      <c r="M65" s="267">
        <f t="shared" si="7"/>
        <v>100</v>
      </c>
    </row>
    <row r="66" spans="1:13" x14ac:dyDescent="0.25">
      <c r="A66" s="41">
        <v>2039</v>
      </c>
      <c r="B66" s="41">
        <v>26</v>
      </c>
      <c r="C66" s="206">
        <f>'2 CARRILES HCM'!C66</f>
        <v>7754.0239024538787</v>
      </c>
      <c r="D66" s="206">
        <f>'2 CARRILES HCM'!D66</f>
        <v>524.05167801315326</v>
      </c>
      <c r="E66" s="206">
        <f>'2 CARRILES HCM'!E66</f>
        <v>659.9169278684152</v>
      </c>
      <c r="F66" s="206">
        <f>'2 CARRILES HCM'!F66</f>
        <v>194.09321407894566</v>
      </c>
      <c r="G66" s="206">
        <f>'2 CARRILES HCM'!G66</f>
        <v>198.94554443091928</v>
      </c>
      <c r="H66" s="206">
        <f>'2 CARRILES HCM'!H66</f>
        <v>97.046607039472832</v>
      </c>
      <c r="I66" s="206">
        <f>'2 CARRILES HCM'!I66</f>
        <v>276.58283006249758</v>
      </c>
      <c r="J66" s="207">
        <f t="shared" si="5"/>
        <v>9704.6607039472819</v>
      </c>
      <c r="K66" s="35" t="str">
        <f t="shared" si="8"/>
        <v>A</v>
      </c>
      <c r="L66" s="95">
        <f t="shared" si="3"/>
        <v>100</v>
      </c>
      <c r="M66" s="267">
        <f t="shared" si="7"/>
        <v>100</v>
      </c>
    </row>
    <row r="67" spans="1:13" x14ac:dyDescent="0.25">
      <c r="A67" s="41">
        <v>2040</v>
      </c>
      <c r="B67" s="41">
        <v>27</v>
      </c>
      <c r="C67" s="206">
        <f>'2 CARRILES HCM'!C67</f>
        <v>7986.6446195274939</v>
      </c>
      <c r="D67" s="206">
        <f>'2 CARRILES HCM'!D67</f>
        <v>539.77322835354778</v>
      </c>
      <c r="E67" s="206">
        <f>'2 CARRILES HCM'!E67</f>
        <v>679.71443570446763</v>
      </c>
      <c r="F67" s="206">
        <f>'2 CARRILES HCM'!F67</f>
        <v>199.91601050131399</v>
      </c>
      <c r="G67" s="206">
        <f>'2 CARRILES HCM'!G67</f>
        <v>204.91391076384684</v>
      </c>
      <c r="H67" s="206">
        <f>'2 CARRILES HCM'!H67</f>
        <v>99.958005250656996</v>
      </c>
      <c r="I67" s="206">
        <f>'2 CARRILES HCM'!I67</f>
        <v>284.88031496437242</v>
      </c>
      <c r="J67" s="207">
        <f t="shared" si="5"/>
        <v>9995.8005250656988</v>
      </c>
      <c r="K67" s="35" t="str">
        <f t="shared" si="8"/>
        <v>A</v>
      </c>
      <c r="L67" s="95">
        <f t="shared" si="3"/>
        <v>100</v>
      </c>
      <c r="M67" s="267">
        <f t="shared" si="7"/>
        <v>100</v>
      </c>
    </row>
    <row r="68" spans="1:13" x14ac:dyDescent="0.25">
      <c r="A68" s="41">
        <v>2041</v>
      </c>
      <c r="B68" s="41">
        <v>28</v>
      </c>
      <c r="C68" s="206">
        <f>'2 CARRILES HCM'!C68</f>
        <v>8226.2439581133185</v>
      </c>
      <c r="D68" s="206">
        <f>'2 CARRILES HCM'!D68</f>
        <v>555.96642520415423</v>
      </c>
      <c r="E68" s="206">
        <f>'2 CARRILES HCM'!E68</f>
        <v>700.10586877560161</v>
      </c>
      <c r="F68" s="206">
        <f>'2 CARRILES HCM'!F68</f>
        <v>205.91349081635343</v>
      </c>
      <c r="G68" s="206">
        <f>'2 CARRILES HCM'!G68</f>
        <v>211.06132808676224</v>
      </c>
      <c r="H68" s="206">
        <f>'2 CARRILES HCM'!H68</f>
        <v>102.95674540817672</v>
      </c>
      <c r="I68" s="206">
        <f>'2 CARRILES HCM'!I68</f>
        <v>293.42672441330365</v>
      </c>
      <c r="J68" s="207">
        <f t="shared" si="5"/>
        <v>10295.674540817672</v>
      </c>
      <c r="K68" s="35" t="str">
        <f t="shared" si="8"/>
        <v>A</v>
      </c>
      <c r="L68" s="95">
        <f t="shared" si="3"/>
        <v>100</v>
      </c>
      <c r="M68" s="267">
        <f t="shared" si="7"/>
        <v>100</v>
      </c>
    </row>
    <row r="69" spans="1:13" x14ac:dyDescent="0.25">
      <c r="A69" s="41">
        <v>2042</v>
      </c>
      <c r="B69" s="41">
        <v>29</v>
      </c>
      <c r="C69" s="206">
        <f>'2 CARRILES HCM'!C69</f>
        <v>8473.0312768567183</v>
      </c>
      <c r="D69" s="206">
        <f>'2 CARRILES HCM'!D69</f>
        <v>572.64541796027879</v>
      </c>
      <c r="E69" s="206">
        <f>'2 CARRILES HCM'!E69</f>
        <v>721.10904483886964</v>
      </c>
      <c r="F69" s="206">
        <f>'2 CARRILES HCM'!F69</f>
        <v>212.090895540844</v>
      </c>
      <c r="G69" s="206">
        <f>'2 CARRILES HCM'!G69</f>
        <v>217.39316792936509</v>
      </c>
      <c r="H69" s="206">
        <f>'2 CARRILES HCM'!H69</f>
        <v>106.045447770422</v>
      </c>
      <c r="I69" s="206">
        <f>'2 CARRILES HCM'!I69</f>
        <v>302.22952614570272</v>
      </c>
      <c r="J69" s="207">
        <f t="shared" si="5"/>
        <v>10604.5447770422</v>
      </c>
      <c r="K69" s="35" t="str">
        <f t="shared" si="8"/>
        <v>A</v>
      </c>
      <c r="L69" s="95">
        <f t="shared" si="3"/>
        <v>100</v>
      </c>
      <c r="M69" s="267">
        <f t="shared" si="7"/>
        <v>100</v>
      </c>
    </row>
    <row r="70" spans="1:13" x14ac:dyDescent="0.25">
      <c r="A70" s="41">
        <v>2043</v>
      </c>
      <c r="B70" s="41">
        <v>30</v>
      </c>
      <c r="C70" s="206">
        <f>'2 CARRILES HCM'!C70</f>
        <v>8727.2222151624192</v>
      </c>
      <c r="D70" s="206">
        <f>'2 CARRILES HCM'!D70</f>
        <v>589.82478049908718</v>
      </c>
      <c r="E70" s="206">
        <f>'2 CARRILES HCM'!E70</f>
        <v>742.74231618403564</v>
      </c>
      <c r="F70" s="206">
        <f>'2 CARRILES HCM'!F70</f>
        <v>218.45362240706933</v>
      </c>
      <c r="G70" s="206">
        <f>'2 CARRILES HCM'!G70</f>
        <v>223.91496296724605</v>
      </c>
      <c r="H70" s="206">
        <f>'2 CARRILES HCM'!H70</f>
        <v>109.22681120353467</v>
      </c>
      <c r="I70" s="206">
        <f>'2 CARRILES HCM'!I70</f>
        <v>311.29641193007376</v>
      </c>
      <c r="J70" s="207">
        <f t="shared" si="5"/>
        <v>10922.681120353467</v>
      </c>
      <c r="K70" s="35" t="str">
        <f t="shared" si="8"/>
        <v>A</v>
      </c>
      <c r="L70" s="95">
        <f t="shared" ref="L70:L107" si="9">IF(K70="E",60,M70)</f>
        <v>100</v>
      </c>
      <c r="M70" s="267">
        <f t="shared" si="7"/>
        <v>100</v>
      </c>
    </row>
    <row r="71" spans="1:13" x14ac:dyDescent="0.25">
      <c r="A71" s="41">
        <v>2044</v>
      </c>
      <c r="B71" s="41">
        <v>31</v>
      </c>
      <c r="C71" s="206">
        <f>'2 CARRILES HCM'!C71</f>
        <v>8989.0388816172926</v>
      </c>
      <c r="D71" s="206">
        <f>'2 CARRILES HCM'!D71</f>
        <v>607.51952391405985</v>
      </c>
      <c r="E71" s="206">
        <f>'2 CARRILES HCM'!E71</f>
        <v>765.02458566955693</v>
      </c>
      <c r="F71" s="206">
        <f>'2 CARRILES HCM'!F71</f>
        <v>225.00723107928144</v>
      </c>
      <c r="G71" s="206">
        <f>'2 CARRILES HCM'!G71</f>
        <v>230.63241185626347</v>
      </c>
      <c r="H71" s="206">
        <f>'2 CARRILES HCM'!H71</f>
        <v>112.50361553964072</v>
      </c>
      <c r="I71" s="206">
        <f>'2 CARRILES HCM'!I71</f>
        <v>320.63530428797606</v>
      </c>
      <c r="J71" s="207">
        <f>SUM(C71:I71)</f>
        <v>11250.361553964072</v>
      </c>
      <c r="K71" s="35" t="str">
        <f>F359</f>
        <v>A</v>
      </c>
      <c r="L71" s="95">
        <f t="shared" si="9"/>
        <v>100</v>
      </c>
      <c r="M71" s="267">
        <f>G359</f>
        <v>100</v>
      </c>
    </row>
    <row r="72" spans="1:13" ht="15.75" thickBot="1" x14ac:dyDescent="0.3">
      <c r="A72" s="41">
        <v>2045</v>
      </c>
      <c r="B72" s="41">
        <v>32</v>
      </c>
      <c r="C72" s="206">
        <f>'2 CARRILES HCM'!C72</f>
        <v>9258.71004806581</v>
      </c>
      <c r="D72" s="206">
        <f>'2 CARRILES HCM'!D72</f>
        <v>625.74510963148157</v>
      </c>
      <c r="E72" s="206">
        <f>'2 CARRILES HCM'!E72</f>
        <v>787.97532323964344</v>
      </c>
      <c r="F72" s="206">
        <f>'2 CARRILES HCM'!F72</f>
        <v>231.75744801165985</v>
      </c>
      <c r="G72" s="206">
        <f>'2 CARRILES HCM'!G72</f>
        <v>237.55138421195133</v>
      </c>
      <c r="H72" s="206">
        <f>'2 CARRILES HCM'!H72</f>
        <v>115.87872400582992</v>
      </c>
      <c r="I72" s="206">
        <f>'2 CARRILES HCM'!I72</f>
        <v>330.25436341661526</v>
      </c>
      <c r="J72" s="207">
        <f>SUM(C72:I72)</f>
        <v>11587.872400582992</v>
      </c>
      <c r="K72" s="35" t="str">
        <f>F360</f>
        <v>A</v>
      </c>
      <c r="L72" s="95">
        <f>IF(K72="E",60,M72)</f>
        <v>100</v>
      </c>
      <c r="M72" s="267">
        <f>G360</f>
        <v>100</v>
      </c>
    </row>
    <row r="73" spans="1:13" ht="15.75" thickBot="1" x14ac:dyDescent="0.3">
      <c r="A73" s="70"/>
      <c r="B73" s="71" t="s">
        <v>54</v>
      </c>
      <c r="C73" s="297">
        <f>'2 CARRILES HCM'!C73</f>
        <v>0.03</v>
      </c>
      <c r="D73" s="297">
        <f>'2 CARRILES HCM'!D73</f>
        <v>0.03</v>
      </c>
      <c r="E73" s="297">
        <f>'2 CARRILES HCM'!E73</f>
        <v>0.03</v>
      </c>
      <c r="F73" s="297">
        <f>'2 CARRILES HCM'!F73</f>
        <v>0.03</v>
      </c>
      <c r="G73" s="297">
        <f>'2 CARRILES HCM'!G73</f>
        <v>0.03</v>
      </c>
      <c r="H73" s="297">
        <f>'2 CARRILES HCM'!H73</f>
        <v>0.03</v>
      </c>
      <c r="I73" s="297">
        <f>'2 CARRILES HCM'!I73</f>
        <v>0.03</v>
      </c>
      <c r="J73" s="208">
        <f>SUM(C73:I73)/7</f>
        <v>0.03</v>
      </c>
      <c r="M73" s="268"/>
    </row>
    <row r="74" spans="1:13" x14ac:dyDescent="0.25">
      <c r="M74" s="268"/>
    </row>
    <row r="75" spans="1:13" x14ac:dyDescent="0.25">
      <c r="A75" s="74" t="s">
        <v>57</v>
      </c>
      <c r="B75" s="74"/>
      <c r="C75" s="74"/>
      <c r="M75" s="268"/>
    </row>
    <row r="76" spans="1:13" x14ac:dyDescent="0.25">
      <c r="A76" s="68" t="s">
        <v>18</v>
      </c>
      <c r="B76" s="68" t="s">
        <v>45</v>
      </c>
      <c r="C76" s="41" t="s">
        <v>46</v>
      </c>
      <c r="D76" s="41" t="s">
        <v>47</v>
      </c>
      <c r="E76" s="41" t="s">
        <v>48</v>
      </c>
      <c r="F76" s="41" t="s">
        <v>49</v>
      </c>
      <c r="G76" s="41" t="s">
        <v>50</v>
      </c>
      <c r="H76" s="41" t="s">
        <v>51</v>
      </c>
      <c r="I76" s="41" t="s">
        <v>52</v>
      </c>
      <c r="J76" s="41" t="s">
        <v>53</v>
      </c>
      <c r="K76" s="105" t="str">
        <f>F363</f>
        <v>NS</v>
      </c>
      <c r="L76" s="105" t="str">
        <f>G363</f>
        <v>VEL</v>
      </c>
      <c r="M76" s="268"/>
    </row>
    <row r="77" spans="1:13" x14ac:dyDescent="0.25">
      <c r="A77" s="41">
        <v>2013</v>
      </c>
      <c r="B77" s="41">
        <v>0</v>
      </c>
      <c r="C77" s="206">
        <f>'2 CARRILES HCM'!C78</f>
        <v>7191</v>
      </c>
      <c r="D77" s="206">
        <f>'2 CARRILES HCM'!D78</f>
        <v>486</v>
      </c>
      <c r="E77" s="206">
        <f>'2 CARRILES HCM'!E78</f>
        <v>612</v>
      </c>
      <c r="F77" s="206">
        <f>'2 CARRILES HCM'!F78</f>
        <v>180</v>
      </c>
      <c r="G77" s="206">
        <f>'2 CARRILES HCM'!G78</f>
        <v>184.5</v>
      </c>
      <c r="H77" s="206">
        <f>'2 CARRILES HCM'!H78</f>
        <v>90</v>
      </c>
      <c r="I77" s="206">
        <f>'2 CARRILES HCM'!I78</f>
        <v>256.5</v>
      </c>
      <c r="J77" s="207">
        <f>SUM(C77:I77)</f>
        <v>9000</v>
      </c>
      <c r="K77" s="107" t="e">
        <f t="shared" ref="K77:K92" si="10">F364</f>
        <v>#VALUE!</v>
      </c>
      <c r="L77" s="95" t="e">
        <f t="shared" si="9"/>
        <v>#VALUE!</v>
      </c>
      <c r="M77" s="45" t="e">
        <f t="shared" ref="M77:M107" si="11">G364</f>
        <v>#VALUE!</v>
      </c>
    </row>
    <row r="78" spans="1:13" x14ac:dyDescent="0.25">
      <c r="A78" s="41">
        <v>2014</v>
      </c>
      <c r="B78" s="41">
        <v>1</v>
      </c>
      <c r="C78" s="206">
        <f>'2 CARRILES HCM'!C79</f>
        <v>7406.7300000000005</v>
      </c>
      <c r="D78" s="206">
        <f>'2 CARRILES HCM'!D79</f>
        <v>500.58000000000004</v>
      </c>
      <c r="E78" s="206">
        <f>'2 CARRILES HCM'!E79</f>
        <v>630.36</v>
      </c>
      <c r="F78" s="206">
        <f>'2 CARRILES HCM'!F79</f>
        <v>185.4</v>
      </c>
      <c r="G78" s="206">
        <f>'2 CARRILES HCM'!G79</f>
        <v>190.035</v>
      </c>
      <c r="H78" s="206">
        <f>'2 CARRILES HCM'!H79</f>
        <v>92.7</v>
      </c>
      <c r="I78" s="206">
        <f>'2 CARRILES HCM'!I79</f>
        <v>264.19499999999999</v>
      </c>
      <c r="J78" s="207">
        <f t="shared" ref="J78:J107" si="12">SUM(C78:I78)</f>
        <v>9270</v>
      </c>
      <c r="K78" s="107" t="e">
        <f t="shared" si="10"/>
        <v>#VALUE!</v>
      </c>
      <c r="L78" s="95" t="e">
        <f t="shared" si="9"/>
        <v>#VALUE!</v>
      </c>
      <c r="M78" s="45" t="e">
        <f t="shared" si="11"/>
        <v>#VALUE!</v>
      </c>
    </row>
    <row r="79" spans="1:13" x14ac:dyDescent="0.25">
      <c r="A79" s="41">
        <v>2015</v>
      </c>
      <c r="B79" s="41">
        <v>2</v>
      </c>
      <c r="C79" s="206">
        <f>'2 CARRILES HCM'!C80</f>
        <v>7628.9318999999996</v>
      </c>
      <c r="D79" s="206">
        <f>'2 CARRILES HCM'!D80</f>
        <v>515.59739999999999</v>
      </c>
      <c r="E79" s="206">
        <f>'2 CARRILES HCM'!E80</f>
        <v>649.27080000000001</v>
      </c>
      <c r="F79" s="206">
        <f>'2 CARRILES HCM'!F80</f>
        <v>190.96199999999999</v>
      </c>
      <c r="G79" s="206">
        <f>'2 CARRILES HCM'!G80</f>
        <v>195.73604999999998</v>
      </c>
      <c r="H79" s="206">
        <f>'2 CARRILES HCM'!H80</f>
        <v>95.480999999999995</v>
      </c>
      <c r="I79" s="206">
        <f>'2 CARRILES HCM'!I80</f>
        <v>272.12084999999996</v>
      </c>
      <c r="J79" s="207">
        <f t="shared" si="12"/>
        <v>9548.0999999999967</v>
      </c>
      <c r="K79" s="107" t="e">
        <f t="shared" si="10"/>
        <v>#VALUE!</v>
      </c>
      <c r="L79" s="95" t="e">
        <f t="shared" si="9"/>
        <v>#VALUE!</v>
      </c>
      <c r="M79" s="45" t="e">
        <f t="shared" si="11"/>
        <v>#VALUE!</v>
      </c>
    </row>
    <row r="80" spans="1:13" x14ac:dyDescent="0.25">
      <c r="A80" s="41">
        <v>2016</v>
      </c>
      <c r="B80" s="41">
        <v>3</v>
      </c>
      <c r="C80" s="206">
        <f>'2 CARRILES HCM'!C81</f>
        <v>7857.799857</v>
      </c>
      <c r="D80" s="206">
        <f>'2 CARRILES HCM'!D81</f>
        <v>531.06532200000004</v>
      </c>
      <c r="E80" s="206">
        <f>'2 CARRILES HCM'!E81</f>
        <v>668.74892399999999</v>
      </c>
      <c r="F80" s="206">
        <f>'2 CARRILES HCM'!F81</f>
        <v>196.69085999999999</v>
      </c>
      <c r="G80" s="206">
        <f>'2 CARRILES HCM'!G81</f>
        <v>201.60813150000001</v>
      </c>
      <c r="H80" s="206">
        <f>'2 CARRILES HCM'!H81</f>
        <v>98.345429999999993</v>
      </c>
      <c r="I80" s="206">
        <f>'2 CARRILES HCM'!I81</f>
        <v>280.28447549999999</v>
      </c>
      <c r="J80" s="207">
        <f t="shared" si="12"/>
        <v>9834.5429999999997</v>
      </c>
      <c r="K80" s="107" t="e">
        <f t="shared" si="10"/>
        <v>#VALUE!</v>
      </c>
      <c r="L80" s="95" t="e">
        <f t="shared" si="9"/>
        <v>#VALUE!</v>
      </c>
      <c r="M80" s="45" t="e">
        <f t="shared" si="11"/>
        <v>#VALUE!</v>
      </c>
    </row>
    <row r="81" spans="1:13" x14ac:dyDescent="0.25">
      <c r="A81" s="41">
        <v>2017</v>
      </c>
      <c r="B81" s="41">
        <v>4</v>
      </c>
      <c r="C81" s="206">
        <f>'2 CARRILES HCM'!C82</f>
        <v>8093.5338527099993</v>
      </c>
      <c r="D81" s="206">
        <f>'2 CARRILES HCM'!D82</f>
        <v>546.99728166</v>
      </c>
      <c r="E81" s="206">
        <f>'2 CARRILES HCM'!E82</f>
        <v>688.81139171999996</v>
      </c>
      <c r="F81" s="206">
        <f>'2 CARRILES HCM'!F82</f>
        <v>202.59158579999999</v>
      </c>
      <c r="G81" s="206">
        <f>'2 CARRILES HCM'!G82</f>
        <v>207.65637544499998</v>
      </c>
      <c r="H81" s="206">
        <f>'2 CARRILES HCM'!H82</f>
        <v>101.2957929</v>
      </c>
      <c r="I81" s="206">
        <f>'2 CARRILES HCM'!I82</f>
        <v>288.693009765</v>
      </c>
      <c r="J81" s="207">
        <f t="shared" si="12"/>
        <v>10129.579290000001</v>
      </c>
      <c r="K81" s="107" t="e">
        <f t="shared" si="10"/>
        <v>#VALUE!</v>
      </c>
      <c r="L81" s="95" t="e">
        <f t="shared" si="9"/>
        <v>#VALUE!</v>
      </c>
      <c r="M81" s="45" t="e">
        <f t="shared" si="11"/>
        <v>#VALUE!</v>
      </c>
    </row>
    <row r="82" spans="1:13" x14ac:dyDescent="0.25">
      <c r="A82" s="41">
        <v>2018</v>
      </c>
      <c r="B82" s="41">
        <v>5</v>
      </c>
      <c r="C82" s="206">
        <f>'2 CARRILES HCM'!C83</f>
        <v>8336.3398682912994</v>
      </c>
      <c r="D82" s="206">
        <f>'2 CARRILES HCM'!D83</f>
        <v>563.40720010979987</v>
      </c>
      <c r="E82" s="206">
        <f>'2 CARRILES HCM'!E83</f>
        <v>709.47573347159994</v>
      </c>
      <c r="F82" s="206">
        <f>'2 CARRILES HCM'!F83</f>
        <v>208.66933337399996</v>
      </c>
      <c r="G82" s="206">
        <f>'2 CARRILES HCM'!G83</f>
        <v>213.88606670834997</v>
      </c>
      <c r="H82" s="206">
        <f>'2 CARRILES HCM'!H83</f>
        <v>104.33466668699998</v>
      </c>
      <c r="I82" s="206">
        <f>'2 CARRILES HCM'!I83</f>
        <v>297.35380005794997</v>
      </c>
      <c r="J82" s="207">
        <f t="shared" si="12"/>
        <v>10433.466668699999</v>
      </c>
      <c r="K82" s="107" t="e">
        <f t="shared" si="10"/>
        <v>#VALUE!</v>
      </c>
      <c r="L82" s="95" t="e">
        <f t="shared" si="9"/>
        <v>#VALUE!</v>
      </c>
      <c r="M82" s="45" t="e">
        <f t="shared" si="11"/>
        <v>#VALUE!</v>
      </c>
    </row>
    <row r="83" spans="1:13" x14ac:dyDescent="0.25">
      <c r="A83" s="41">
        <v>2019</v>
      </c>
      <c r="B83" s="41">
        <v>6</v>
      </c>
      <c r="C83" s="206">
        <f>'2 CARRILES HCM'!C84</f>
        <v>8586.4300643400384</v>
      </c>
      <c r="D83" s="206">
        <f>'2 CARRILES HCM'!D84</f>
        <v>580.3094161130939</v>
      </c>
      <c r="E83" s="206">
        <f>'2 CARRILES HCM'!E84</f>
        <v>730.7600054757479</v>
      </c>
      <c r="F83" s="206">
        <f>'2 CARRILES HCM'!F84</f>
        <v>214.92941337521998</v>
      </c>
      <c r="G83" s="206">
        <f>'2 CARRILES HCM'!G84</f>
        <v>220.30264870960048</v>
      </c>
      <c r="H83" s="206">
        <f>'2 CARRILES HCM'!H84</f>
        <v>107.46470668760999</v>
      </c>
      <c r="I83" s="206">
        <f>'2 CARRILES HCM'!I84</f>
        <v>306.27441405968847</v>
      </c>
      <c r="J83" s="207">
        <f t="shared" si="12"/>
        <v>10746.470668760998</v>
      </c>
      <c r="K83" s="107" t="e">
        <f t="shared" si="10"/>
        <v>#VALUE!</v>
      </c>
      <c r="L83" s="95" t="e">
        <f t="shared" si="9"/>
        <v>#VALUE!</v>
      </c>
      <c r="M83" s="45" t="e">
        <f t="shared" si="11"/>
        <v>#VALUE!</v>
      </c>
    </row>
    <row r="84" spans="1:13" x14ac:dyDescent="0.25">
      <c r="A84" s="41">
        <v>2020</v>
      </c>
      <c r="B84" s="41">
        <v>7</v>
      </c>
      <c r="C84" s="206">
        <f>'2 CARRILES HCM'!C85</f>
        <v>8844.0229662702404</v>
      </c>
      <c r="D84" s="206">
        <f>'2 CARRILES HCM'!D85</f>
        <v>597.71869859648677</v>
      </c>
      <c r="E84" s="206">
        <f>'2 CARRILES HCM'!E85</f>
        <v>752.68280564002043</v>
      </c>
      <c r="F84" s="206">
        <f>'2 CARRILES HCM'!F85</f>
        <v>221.37729577647659</v>
      </c>
      <c r="G84" s="206">
        <f>'2 CARRILES HCM'!G85</f>
        <v>226.91172817088852</v>
      </c>
      <c r="H84" s="206">
        <f>'2 CARRILES HCM'!H85</f>
        <v>110.68864788823829</v>
      </c>
      <c r="I84" s="206">
        <f>'2 CARRILES HCM'!I85</f>
        <v>315.46264648147917</v>
      </c>
      <c r="J84" s="207">
        <f t="shared" si="12"/>
        <v>11068.86478882383</v>
      </c>
      <c r="K84" s="107" t="e">
        <f t="shared" si="10"/>
        <v>#VALUE!</v>
      </c>
      <c r="L84" s="95" t="e">
        <f t="shared" si="9"/>
        <v>#VALUE!</v>
      </c>
      <c r="M84" s="45" t="e">
        <f t="shared" si="11"/>
        <v>#VALUE!</v>
      </c>
    </row>
    <row r="85" spans="1:13" x14ac:dyDescent="0.25">
      <c r="A85" s="41">
        <v>2021</v>
      </c>
      <c r="B85" s="41">
        <v>8</v>
      </c>
      <c r="C85" s="206">
        <f>'2 CARRILES HCM'!C86</f>
        <v>9109.3436552583462</v>
      </c>
      <c r="D85" s="206">
        <f>'2 CARRILES HCM'!D86</f>
        <v>615.65025955438136</v>
      </c>
      <c r="E85" s="206">
        <f>'2 CARRILES HCM'!E86</f>
        <v>775.26328980922096</v>
      </c>
      <c r="F85" s="206">
        <f>'2 CARRILES HCM'!F86</f>
        <v>228.01861464977088</v>
      </c>
      <c r="G85" s="206">
        <f>'2 CARRILES HCM'!G86</f>
        <v>233.71908001601514</v>
      </c>
      <c r="H85" s="206">
        <f>'2 CARRILES HCM'!H86</f>
        <v>114.00930732488544</v>
      </c>
      <c r="I85" s="206">
        <f>'2 CARRILES HCM'!I86</f>
        <v>324.92652587592346</v>
      </c>
      <c r="J85" s="207">
        <f t="shared" si="12"/>
        <v>11400.930732488545</v>
      </c>
      <c r="K85" s="107" t="e">
        <f t="shared" si="10"/>
        <v>#VALUE!</v>
      </c>
      <c r="L85" s="95" t="e">
        <f t="shared" si="9"/>
        <v>#VALUE!</v>
      </c>
      <c r="M85" s="45" t="e">
        <f t="shared" si="11"/>
        <v>#VALUE!</v>
      </c>
    </row>
    <row r="86" spans="1:13" x14ac:dyDescent="0.25">
      <c r="A86" s="41">
        <v>2022</v>
      </c>
      <c r="B86" s="41">
        <v>9</v>
      </c>
      <c r="C86" s="206">
        <f>'2 CARRILES HCM'!C87</f>
        <v>9382.6239649160962</v>
      </c>
      <c r="D86" s="206">
        <f>'2 CARRILES HCM'!D87</f>
        <v>634.11976734101279</v>
      </c>
      <c r="E86" s="206">
        <f>'2 CARRILES HCM'!E87</f>
        <v>798.52118850349757</v>
      </c>
      <c r="F86" s="206">
        <f>'2 CARRILES HCM'!F87</f>
        <v>234.859173089264</v>
      </c>
      <c r="G86" s="206">
        <f>'2 CARRILES HCM'!G87</f>
        <v>240.73065241649562</v>
      </c>
      <c r="H86" s="206">
        <f>'2 CARRILES HCM'!H87</f>
        <v>117.429586544632</v>
      </c>
      <c r="I86" s="206">
        <f>'2 CARRILES HCM'!I87</f>
        <v>334.67432165220123</v>
      </c>
      <c r="J86" s="207">
        <f t="shared" si="12"/>
        <v>11742.9586544632</v>
      </c>
      <c r="K86" s="107" t="e">
        <f t="shared" si="10"/>
        <v>#VALUE!</v>
      </c>
      <c r="L86" s="95" t="e">
        <f t="shared" si="9"/>
        <v>#VALUE!</v>
      </c>
      <c r="M86" s="45" t="e">
        <f t="shared" si="11"/>
        <v>#VALUE!</v>
      </c>
    </row>
    <row r="87" spans="1:13" x14ac:dyDescent="0.25">
      <c r="A87" s="41">
        <v>2023</v>
      </c>
      <c r="B87" s="41">
        <v>10</v>
      </c>
      <c r="C87" s="206">
        <f>'2 CARRILES HCM'!C88</f>
        <v>9664.1026838635789</v>
      </c>
      <c r="D87" s="206">
        <f>'2 CARRILES HCM'!D88</f>
        <v>653.14336036124314</v>
      </c>
      <c r="E87" s="206">
        <f>'2 CARRILES HCM'!E88</f>
        <v>822.47682415860254</v>
      </c>
      <c r="F87" s="206">
        <f>'2 CARRILES HCM'!F88</f>
        <v>241.90494828194193</v>
      </c>
      <c r="G87" s="206">
        <f>'2 CARRILES HCM'!G88</f>
        <v>247.95257198899046</v>
      </c>
      <c r="H87" s="206">
        <f>'2 CARRILES HCM'!H88</f>
        <v>120.95247414097096</v>
      </c>
      <c r="I87" s="206">
        <f>'2 CARRILES HCM'!I88</f>
        <v>344.71455130176724</v>
      </c>
      <c r="J87" s="207">
        <f t="shared" si="12"/>
        <v>12095.247414097097</v>
      </c>
      <c r="K87" s="107" t="e">
        <f t="shared" si="10"/>
        <v>#VALUE!</v>
      </c>
      <c r="L87" s="95" t="e">
        <f t="shared" si="9"/>
        <v>#VALUE!</v>
      </c>
      <c r="M87" s="45" t="e">
        <f t="shared" si="11"/>
        <v>#VALUE!</v>
      </c>
    </row>
    <row r="88" spans="1:13" x14ac:dyDescent="0.25">
      <c r="A88" s="41">
        <v>2024</v>
      </c>
      <c r="B88" s="41">
        <v>11</v>
      </c>
      <c r="C88" s="206">
        <f>'2 CARRILES HCM'!C89</f>
        <v>9954.0257643794866</v>
      </c>
      <c r="D88" s="206">
        <f>'2 CARRILES HCM'!D89</f>
        <v>672.73766117208049</v>
      </c>
      <c r="E88" s="206">
        <f>'2 CARRILES HCM'!E89</f>
        <v>847.15112888336068</v>
      </c>
      <c r="F88" s="206">
        <f>'2 CARRILES HCM'!F89</f>
        <v>249.16209673040018</v>
      </c>
      <c r="G88" s="206">
        <f>'2 CARRILES HCM'!G89</f>
        <v>255.39114914866019</v>
      </c>
      <c r="H88" s="206">
        <f>'2 CARRILES HCM'!H89</f>
        <v>124.58104836520009</v>
      </c>
      <c r="I88" s="206">
        <f>'2 CARRILES HCM'!I89</f>
        <v>355.05598784082025</v>
      </c>
      <c r="J88" s="207">
        <f t="shared" si="12"/>
        <v>12458.104836520009</v>
      </c>
      <c r="K88" s="107" t="e">
        <f t="shared" si="10"/>
        <v>#VALUE!</v>
      </c>
      <c r="L88" s="95" t="e">
        <f t="shared" si="9"/>
        <v>#VALUE!</v>
      </c>
      <c r="M88" s="45" t="e">
        <f t="shared" si="11"/>
        <v>#VALUE!</v>
      </c>
    </row>
    <row r="89" spans="1:13" x14ac:dyDescent="0.25">
      <c r="A89" s="41">
        <v>2025</v>
      </c>
      <c r="B89" s="41">
        <v>12</v>
      </c>
      <c r="C89" s="206">
        <f>'2 CARRILES HCM'!C90</f>
        <v>10252.646537310871</v>
      </c>
      <c r="D89" s="206">
        <f>'2 CARRILES HCM'!D90</f>
        <v>692.91979100724279</v>
      </c>
      <c r="E89" s="206">
        <f>'2 CARRILES HCM'!E90</f>
        <v>872.5656627498613</v>
      </c>
      <c r="F89" s="206">
        <f>'2 CARRILES HCM'!F90</f>
        <v>256.63695963231214</v>
      </c>
      <c r="G89" s="206">
        <f>'2 CARRILES HCM'!G90</f>
        <v>263.05288362311995</v>
      </c>
      <c r="H89" s="206">
        <f>'2 CARRILES HCM'!H90</f>
        <v>128.31847981615607</v>
      </c>
      <c r="I89" s="206">
        <f>'2 CARRILES HCM'!I90</f>
        <v>365.70766747604483</v>
      </c>
      <c r="J89" s="207">
        <f t="shared" si="12"/>
        <v>12831.84798161561</v>
      </c>
      <c r="K89" s="107" t="e">
        <f t="shared" si="10"/>
        <v>#VALUE!</v>
      </c>
      <c r="L89" s="95" t="e">
        <f t="shared" si="9"/>
        <v>#VALUE!</v>
      </c>
      <c r="M89" s="45" t="e">
        <f t="shared" si="11"/>
        <v>#VALUE!</v>
      </c>
    </row>
    <row r="90" spans="1:13" x14ac:dyDescent="0.25">
      <c r="A90" s="41">
        <v>2026</v>
      </c>
      <c r="B90" s="41">
        <v>13</v>
      </c>
      <c r="C90" s="206">
        <f>'2 CARRILES HCM'!C91</f>
        <v>10560.225933430196</v>
      </c>
      <c r="D90" s="206">
        <f>'2 CARRILES HCM'!D91</f>
        <v>713.70738473746007</v>
      </c>
      <c r="E90" s="206">
        <f>'2 CARRILES HCM'!E91</f>
        <v>898.74263263235707</v>
      </c>
      <c r="F90" s="206">
        <f>'2 CARRILES HCM'!F91</f>
        <v>264.33606842128148</v>
      </c>
      <c r="G90" s="206">
        <f>'2 CARRILES HCM'!G91</f>
        <v>270.94447013181355</v>
      </c>
      <c r="H90" s="206">
        <f>'2 CARRILES HCM'!H91</f>
        <v>132.16803421064074</v>
      </c>
      <c r="I90" s="206">
        <f>'2 CARRILES HCM'!I91</f>
        <v>376.67889750032617</v>
      </c>
      <c r="J90" s="207">
        <f t="shared" si="12"/>
        <v>13216.803421064074</v>
      </c>
      <c r="K90" s="107" t="e">
        <f t="shared" si="10"/>
        <v>#VALUE!</v>
      </c>
      <c r="L90" s="95" t="e">
        <f t="shared" si="9"/>
        <v>#VALUE!</v>
      </c>
      <c r="M90" s="45" t="e">
        <f t="shared" si="11"/>
        <v>#VALUE!</v>
      </c>
    </row>
    <row r="91" spans="1:13" x14ac:dyDescent="0.25">
      <c r="A91" s="41">
        <v>2027</v>
      </c>
      <c r="B91" s="41">
        <v>14</v>
      </c>
      <c r="C91" s="206">
        <f>'2 CARRILES HCM'!C92</f>
        <v>10877.032711433103</v>
      </c>
      <c r="D91" s="206">
        <f>'2 CARRILES HCM'!D92</f>
        <v>735.1186062795839</v>
      </c>
      <c r="E91" s="206">
        <f>'2 CARRILES HCM'!E92</f>
        <v>925.70491161132793</v>
      </c>
      <c r="F91" s="206">
        <f>'2 CARRILES HCM'!F92</f>
        <v>272.26615047391999</v>
      </c>
      <c r="G91" s="206">
        <f>'2 CARRILES HCM'!G92</f>
        <v>279.07280423576799</v>
      </c>
      <c r="H91" s="206">
        <f>'2 CARRILES HCM'!H92</f>
        <v>136.13307523696</v>
      </c>
      <c r="I91" s="206">
        <f>'2 CARRILES HCM'!I92</f>
        <v>387.979264425336</v>
      </c>
      <c r="J91" s="207">
        <f t="shared" si="12"/>
        <v>13613.307523695999</v>
      </c>
      <c r="K91" s="107" t="e">
        <f t="shared" si="10"/>
        <v>#VALUE!</v>
      </c>
      <c r="L91" s="95" t="e">
        <f t="shared" si="9"/>
        <v>#VALUE!</v>
      </c>
      <c r="M91" s="45" t="e">
        <f t="shared" si="11"/>
        <v>#VALUE!</v>
      </c>
    </row>
    <row r="92" spans="1:13" x14ac:dyDescent="0.25">
      <c r="A92" s="41">
        <v>2028</v>
      </c>
      <c r="B92" s="41">
        <v>15</v>
      </c>
      <c r="C92" s="206">
        <f>'2 CARRILES HCM'!C93</f>
        <v>11203.343692776098</v>
      </c>
      <c r="D92" s="206">
        <f>'2 CARRILES HCM'!D93</f>
        <v>757.17216446797147</v>
      </c>
      <c r="E92" s="206">
        <f>'2 CARRILES HCM'!E93</f>
        <v>953.47605895966785</v>
      </c>
      <c r="F92" s="206">
        <f>'2 CARRILES HCM'!F93</f>
        <v>280.4341349881376</v>
      </c>
      <c r="G92" s="206">
        <f>'2 CARRILES HCM'!G93</f>
        <v>287.44498836284106</v>
      </c>
      <c r="H92" s="206">
        <f>'2 CARRILES HCM'!H93</f>
        <v>140.2170674940688</v>
      </c>
      <c r="I92" s="206">
        <f>'2 CARRILES HCM'!I93</f>
        <v>399.61864235809605</v>
      </c>
      <c r="J92" s="207">
        <f t="shared" si="12"/>
        <v>14021.70674940688</v>
      </c>
      <c r="K92" s="107" t="e">
        <f t="shared" si="10"/>
        <v>#VALUE!</v>
      </c>
      <c r="L92" s="95" t="e">
        <f t="shared" si="9"/>
        <v>#VALUE!</v>
      </c>
      <c r="M92" s="45" t="e">
        <f t="shared" si="11"/>
        <v>#VALUE!</v>
      </c>
    </row>
    <row r="93" spans="1:13" x14ac:dyDescent="0.25">
      <c r="A93" s="41">
        <v>2029</v>
      </c>
      <c r="B93" s="41">
        <v>16</v>
      </c>
      <c r="C93" s="206">
        <f>'2 CARRILES HCM'!C94</f>
        <v>11539.444003559378</v>
      </c>
      <c r="D93" s="206">
        <f>'2 CARRILES HCM'!D94</f>
        <v>779.88732940201055</v>
      </c>
      <c r="E93" s="206">
        <f>'2 CARRILES HCM'!E94</f>
        <v>982.08034072845771</v>
      </c>
      <c r="F93" s="206">
        <f>'2 CARRILES HCM'!F94</f>
        <v>288.84715903778169</v>
      </c>
      <c r="G93" s="206">
        <f>'2 CARRILES HCM'!G94</f>
        <v>296.06833801372619</v>
      </c>
      <c r="H93" s="206">
        <f>'2 CARRILES HCM'!H94</f>
        <v>144.42357951889085</v>
      </c>
      <c r="I93" s="206">
        <f>'2 CARRILES HCM'!I94</f>
        <v>411.60720162883888</v>
      </c>
      <c r="J93" s="207">
        <f t="shared" si="12"/>
        <v>14442.357951889084</v>
      </c>
      <c r="K93" s="107" t="e">
        <f t="shared" ref="K93:K107" si="13">F380</f>
        <v>#VALUE!</v>
      </c>
      <c r="L93" s="95" t="e">
        <f t="shared" si="9"/>
        <v>#VALUE!</v>
      </c>
      <c r="M93" s="45" t="e">
        <f t="shared" si="11"/>
        <v>#VALUE!</v>
      </c>
    </row>
    <row r="94" spans="1:13" x14ac:dyDescent="0.25">
      <c r="A94" s="41">
        <v>2030</v>
      </c>
      <c r="B94" s="41">
        <v>17</v>
      </c>
      <c r="C94" s="206">
        <f>'2 CARRILES HCM'!C95</f>
        <v>11885.62732366616</v>
      </c>
      <c r="D94" s="206">
        <f>'2 CARRILES HCM'!D95</f>
        <v>803.28394928407079</v>
      </c>
      <c r="E94" s="206">
        <f>'2 CARRILES HCM'!E95</f>
        <v>1011.5427509503114</v>
      </c>
      <c r="F94" s="206">
        <f>'2 CARRILES HCM'!F95</f>
        <v>297.51257380891514</v>
      </c>
      <c r="G94" s="206">
        <f>'2 CARRILES HCM'!G95</f>
        <v>304.95038815413801</v>
      </c>
      <c r="H94" s="206">
        <f>'2 CARRILES HCM'!H95</f>
        <v>148.75628690445757</v>
      </c>
      <c r="I94" s="206">
        <f>'2 CARRILES HCM'!I95</f>
        <v>423.95541767770408</v>
      </c>
      <c r="J94" s="207">
        <f t="shared" si="12"/>
        <v>14875.628690445757</v>
      </c>
      <c r="K94" s="107" t="e">
        <f t="shared" si="13"/>
        <v>#VALUE!</v>
      </c>
      <c r="L94" s="95" t="e">
        <f t="shared" si="9"/>
        <v>#VALUE!</v>
      </c>
      <c r="M94" s="45" t="e">
        <f t="shared" si="11"/>
        <v>#VALUE!</v>
      </c>
    </row>
    <row r="95" spans="1:13" x14ac:dyDescent="0.25">
      <c r="A95" s="41">
        <v>2031</v>
      </c>
      <c r="B95" s="41">
        <v>18</v>
      </c>
      <c r="C95" s="206">
        <f>'2 CARRILES HCM'!C96</f>
        <v>12242.196143376144</v>
      </c>
      <c r="D95" s="206">
        <f>'2 CARRILES HCM'!D96</f>
        <v>827.38246776259302</v>
      </c>
      <c r="E95" s="206">
        <f>'2 CARRILES HCM'!E96</f>
        <v>1041.8890334788207</v>
      </c>
      <c r="F95" s="206">
        <f>'2 CARRILES HCM'!F96</f>
        <v>306.43795102318256</v>
      </c>
      <c r="G95" s="206">
        <f>'2 CARRILES HCM'!G96</f>
        <v>314.09889979876215</v>
      </c>
      <c r="H95" s="206">
        <f>'2 CARRILES HCM'!H96</f>
        <v>153.21897551159128</v>
      </c>
      <c r="I95" s="206">
        <f>'2 CARRILES HCM'!I96</f>
        <v>436.67408020803521</v>
      </c>
      <c r="J95" s="207">
        <f t="shared" si="12"/>
        <v>15321.897551159129</v>
      </c>
      <c r="K95" s="107" t="e">
        <f t="shared" si="13"/>
        <v>#VALUE!</v>
      </c>
      <c r="L95" s="95" t="e">
        <f t="shared" si="9"/>
        <v>#VALUE!</v>
      </c>
      <c r="M95" s="45" t="e">
        <f t="shared" si="11"/>
        <v>#VALUE!</v>
      </c>
    </row>
    <row r="96" spans="1:13" x14ac:dyDescent="0.25">
      <c r="A96" s="41">
        <v>2032</v>
      </c>
      <c r="B96" s="41">
        <v>19</v>
      </c>
      <c r="C96" s="206">
        <f>'2 CARRILES HCM'!C97</f>
        <v>12609.462027677428</v>
      </c>
      <c r="D96" s="206">
        <f>'2 CARRILES HCM'!D97</f>
        <v>852.20394179547077</v>
      </c>
      <c r="E96" s="206">
        <f>'2 CARRILES HCM'!E97</f>
        <v>1073.1457044831855</v>
      </c>
      <c r="F96" s="206">
        <f>'2 CARRILES HCM'!F97</f>
        <v>315.63108955387804</v>
      </c>
      <c r="G96" s="206">
        <f>'2 CARRILES HCM'!G97</f>
        <v>323.52186679272501</v>
      </c>
      <c r="H96" s="206">
        <f>'2 CARRILES HCM'!H97</f>
        <v>157.81554477693902</v>
      </c>
      <c r="I96" s="206">
        <f>'2 CARRILES HCM'!I97</f>
        <v>449.77430261427622</v>
      </c>
      <c r="J96" s="207">
        <f t="shared" si="12"/>
        <v>15781.554477693902</v>
      </c>
      <c r="K96" s="107" t="e">
        <f t="shared" si="13"/>
        <v>#VALUE!</v>
      </c>
      <c r="L96" s="95" t="e">
        <f t="shared" si="9"/>
        <v>#VALUE!</v>
      </c>
      <c r="M96" s="45" t="e">
        <f t="shared" si="11"/>
        <v>#VALUE!</v>
      </c>
    </row>
    <row r="97" spans="1:13" x14ac:dyDescent="0.25">
      <c r="A97" s="41">
        <v>2033</v>
      </c>
      <c r="B97" s="41">
        <v>20</v>
      </c>
      <c r="C97" s="206">
        <f>'2 CARRILES HCM'!C98</f>
        <v>12987.74588850775</v>
      </c>
      <c r="D97" s="206">
        <f>'2 CARRILES HCM'!D98</f>
        <v>877.7700600493348</v>
      </c>
      <c r="E97" s="206">
        <f>'2 CARRILES HCM'!E98</f>
        <v>1105.3400756176809</v>
      </c>
      <c r="F97" s="206">
        <f>'2 CARRILES HCM'!F98</f>
        <v>325.10002224049441</v>
      </c>
      <c r="G97" s="206">
        <f>'2 CARRILES HCM'!G98</f>
        <v>333.22752279650672</v>
      </c>
      <c r="H97" s="206">
        <f>'2 CARRILES HCM'!H98</f>
        <v>162.55001112024721</v>
      </c>
      <c r="I97" s="206">
        <f>'2 CARRILES HCM'!I98</f>
        <v>463.26753169270449</v>
      </c>
      <c r="J97" s="207">
        <f t="shared" si="12"/>
        <v>16255.001112024722</v>
      </c>
      <c r="K97" s="107" t="e">
        <f t="shared" si="13"/>
        <v>#VALUE!</v>
      </c>
      <c r="L97" s="95" t="e">
        <f t="shared" si="9"/>
        <v>#VALUE!</v>
      </c>
      <c r="M97" s="45" t="e">
        <f t="shared" si="11"/>
        <v>#VALUE!</v>
      </c>
    </row>
    <row r="98" spans="1:13" x14ac:dyDescent="0.25">
      <c r="A98" s="41">
        <v>2034</v>
      </c>
      <c r="B98" s="41">
        <v>21</v>
      </c>
      <c r="C98" s="206">
        <f>'2 CARRILES HCM'!C99</f>
        <v>13377.378265162981</v>
      </c>
      <c r="D98" s="206">
        <f>'2 CARRILES HCM'!D99</f>
        <v>904.10316185081479</v>
      </c>
      <c r="E98" s="206">
        <f>'2 CARRILES HCM'!E99</f>
        <v>1138.5002778862113</v>
      </c>
      <c r="F98" s="206">
        <f>'2 CARRILES HCM'!F99</f>
        <v>334.85302290770915</v>
      </c>
      <c r="G98" s="206">
        <f>'2 CARRILES HCM'!G99</f>
        <v>343.22434848040189</v>
      </c>
      <c r="H98" s="206">
        <f>'2 CARRILES HCM'!H99</f>
        <v>167.42651145385457</v>
      </c>
      <c r="I98" s="206">
        <f>'2 CARRILES HCM'!I99</f>
        <v>477.16555764348556</v>
      </c>
      <c r="J98" s="207">
        <f t="shared" si="12"/>
        <v>16742.651145385458</v>
      </c>
      <c r="K98" s="107" t="e">
        <f t="shared" si="13"/>
        <v>#VALUE!</v>
      </c>
      <c r="L98" s="95" t="e">
        <f t="shared" si="9"/>
        <v>#VALUE!</v>
      </c>
      <c r="M98" s="45" t="e">
        <f t="shared" si="11"/>
        <v>#VALUE!</v>
      </c>
    </row>
    <row r="99" spans="1:13" x14ac:dyDescent="0.25">
      <c r="A99" s="41">
        <v>2035</v>
      </c>
      <c r="B99" s="41">
        <v>22</v>
      </c>
      <c r="C99" s="206">
        <f>'2 CARRILES HCM'!C100</f>
        <v>13778.699613117873</v>
      </c>
      <c r="D99" s="206">
        <f>'2 CARRILES HCM'!D100</f>
        <v>931.22625670633931</v>
      </c>
      <c r="E99" s="206">
        <f>'2 CARRILES HCM'!E100</f>
        <v>1172.6552862227977</v>
      </c>
      <c r="F99" s="206">
        <f>'2 CARRILES HCM'!F100</f>
        <v>344.89861359494046</v>
      </c>
      <c r="G99" s="206">
        <f>'2 CARRILES HCM'!G100</f>
        <v>353.521078934814</v>
      </c>
      <c r="H99" s="206">
        <f>'2 CARRILES HCM'!H100</f>
        <v>172.44930679747023</v>
      </c>
      <c r="I99" s="206">
        <f>'2 CARRILES HCM'!I100</f>
        <v>491.48052437279017</v>
      </c>
      <c r="J99" s="207">
        <f t="shared" si="12"/>
        <v>17244.930679747024</v>
      </c>
      <c r="K99" s="107" t="e">
        <f t="shared" si="13"/>
        <v>#VALUE!</v>
      </c>
      <c r="L99" s="95" t="e">
        <f t="shared" si="9"/>
        <v>#VALUE!</v>
      </c>
      <c r="M99" s="45" t="e">
        <f t="shared" si="11"/>
        <v>#VALUE!</v>
      </c>
    </row>
    <row r="100" spans="1:13" x14ac:dyDescent="0.25">
      <c r="A100" s="41">
        <v>2036</v>
      </c>
      <c r="B100" s="41">
        <v>23</v>
      </c>
      <c r="C100" s="206">
        <f>'2 CARRILES HCM'!C101</f>
        <v>14192.06060151141</v>
      </c>
      <c r="D100" s="206">
        <f>'2 CARRILES HCM'!D101</f>
        <v>959.16304440752958</v>
      </c>
      <c r="E100" s="206">
        <f>'2 CARRILES HCM'!E101</f>
        <v>1207.8349448094816</v>
      </c>
      <c r="F100" s="206">
        <f>'2 CARRILES HCM'!F101</f>
        <v>355.24557200278872</v>
      </c>
      <c r="G100" s="206">
        <f>'2 CARRILES HCM'!G101</f>
        <v>364.12671130285844</v>
      </c>
      <c r="H100" s="206">
        <f>'2 CARRILES HCM'!H101</f>
        <v>177.62278600139436</v>
      </c>
      <c r="I100" s="206">
        <f>'2 CARRILES HCM'!I101</f>
        <v>506.22494010397395</v>
      </c>
      <c r="J100" s="207">
        <f t="shared" si="12"/>
        <v>17762.278600139434</v>
      </c>
      <c r="K100" s="107" t="e">
        <f t="shared" si="13"/>
        <v>#VALUE!</v>
      </c>
      <c r="L100" s="95" t="e">
        <f t="shared" si="9"/>
        <v>#VALUE!</v>
      </c>
      <c r="M100" s="45" t="e">
        <f t="shared" si="11"/>
        <v>#VALUE!</v>
      </c>
    </row>
    <row r="101" spans="1:13" x14ac:dyDescent="0.25">
      <c r="A101" s="41">
        <v>2037</v>
      </c>
      <c r="B101" s="41">
        <v>24</v>
      </c>
      <c r="C101" s="206">
        <f>'2 CARRILES HCM'!C102</f>
        <v>14617.822419556749</v>
      </c>
      <c r="D101" s="206">
        <f>'2 CARRILES HCM'!D102</f>
        <v>987.93793573975529</v>
      </c>
      <c r="E101" s="206">
        <f>'2 CARRILES HCM'!E102</f>
        <v>1244.0699931537658</v>
      </c>
      <c r="F101" s="206">
        <f>'2 CARRILES HCM'!F102</f>
        <v>365.90293916287231</v>
      </c>
      <c r="G101" s="206">
        <f>'2 CARRILES HCM'!G102</f>
        <v>375.05051264194412</v>
      </c>
      <c r="H101" s="206">
        <f>'2 CARRILES HCM'!H102</f>
        <v>182.95146958143616</v>
      </c>
      <c r="I101" s="206">
        <f>'2 CARRILES HCM'!I102</f>
        <v>521.41168830709307</v>
      </c>
      <c r="J101" s="207">
        <f t="shared" si="12"/>
        <v>18295.146958143618</v>
      </c>
      <c r="K101" s="107" t="e">
        <f t="shared" si="13"/>
        <v>#VALUE!</v>
      </c>
      <c r="L101" s="95" t="e">
        <f t="shared" si="9"/>
        <v>#VALUE!</v>
      </c>
      <c r="M101" s="45" t="e">
        <f t="shared" si="11"/>
        <v>#VALUE!</v>
      </c>
    </row>
    <row r="102" spans="1:13" x14ac:dyDescent="0.25">
      <c r="A102" s="41">
        <v>2038</v>
      </c>
      <c r="B102" s="41">
        <v>25</v>
      </c>
      <c r="C102" s="206">
        <f>'2 CARRILES HCM'!C103</f>
        <v>15056.357092143451</v>
      </c>
      <c r="D102" s="206">
        <f>'2 CARRILES HCM'!D103</f>
        <v>1017.5760738119479</v>
      </c>
      <c r="E102" s="206">
        <f>'2 CARRILES HCM'!E103</f>
        <v>1281.3920929483788</v>
      </c>
      <c r="F102" s="206">
        <f>'2 CARRILES HCM'!F103</f>
        <v>376.88002733775846</v>
      </c>
      <c r="G102" s="206">
        <f>'2 CARRILES HCM'!G103</f>
        <v>386.30202802120243</v>
      </c>
      <c r="H102" s="206">
        <f>'2 CARRILES HCM'!H103</f>
        <v>188.44001366887923</v>
      </c>
      <c r="I102" s="206">
        <f>'2 CARRILES HCM'!I103</f>
        <v>537.05403895630582</v>
      </c>
      <c r="J102" s="207">
        <f t="shared" si="12"/>
        <v>18844.001366887926</v>
      </c>
      <c r="K102" s="107" t="e">
        <f t="shared" si="13"/>
        <v>#VALUE!</v>
      </c>
      <c r="L102" s="95" t="e">
        <f t="shared" si="9"/>
        <v>#VALUE!</v>
      </c>
      <c r="M102" s="45" t="e">
        <f t="shared" si="11"/>
        <v>#VALUE!</v>
      </c>
    </row>
    <row r="103" spans="1:13" x14ac:dyDescent="0.25">
      <c r="A103" s="41">
        <v>2039</v>
      </c>
      <c r="B103" s="41">
        <v>26</v>
      </c>
      <c r="C103" s="206">
        <f>'2 CARRILES HCM'!C104</f>
        <v>15508.047804907757</v>
      </c>
      <c r="D103" s="206">
        <f>'2 CARRILES HCM'!D104</f>
        <v>1048.1033560263065</v>
      </c>
      <c r="E103" s="206">
        <f>'2 CARRILES HCM'!E104</f>
        <v>1319.8338557368304</v>
      </c>
      <c r="F103" s="206">
        <f>'2 CARRILES HCM'!F104</f>
        <v>388.18642815789133</v>
      </c>
      <c r="G103" s="206">
        <f>'2 CARRILES HCM'!G104</f>
        <v>397.89108886183857</v>
      </c>
      <c r="H103" s="206">
        <f>'2 CARRILES HCM'!H104</f>
        <v>194.09321407894566</v>
      </c>
      <c r="I103" s="206">
        <f>'2 CARRILES HCM'!I104</f>
        <v>553.16566012499516</v>
      </c>
      <c r="J103" s="207">
        <f t="shared" si="12"/>
        <v>19409.321407894564</v>
      </c>
      <c r="K103" s="107" t="e">
        <f t="shared" si="13"/>
        <v>#VALUE!</v>
      </c>
      <c r="L103" s="95" t="e">
        <f t="shared" si="9"/>
        <v>#VALUE!</v>
      </c>
      <c r="M103" s="45" t="e">
        <f t="shared" si="11"/>
        <v>#VALUE!</v>
      </c>
    </row>
    <row r="104" spans="1:13" x14ac:dyDescent="0.25">
      <c r="A104" s="41">
        <v>2040</v>
      </c>
      <c r="B104" s="41">
        <v>27</v>
      </c>
      <c r="C104" s="206">
        <f>'2 CARRILES HCM'!C105</f>
        <v>15973.289239054988</v>
      </c>
      <c r="D104" s="206">
        <f>'2 CARRILES HCM'!D105</f>
        <v>1079.5464567070956</v>
      </c>
      <c r="E104" s="206">
        <f>'2 CARRILES HCM'!E105</f>
        <v>1359.4288714089353</v>
      </c>
      <c r="F104" s="206">
        <f>'2 CARRILES HCM'!F105</f>
        <v>399.83202100262798</v>
      </c>
      <c r="G104" s="206">
        <f>'2 CARRILES HCM'!G105</f>
        <v>409.82782152769369</v>
      </c>
      <c r="H104" s="206">
        <f>'2 CARRILES HCM'!H105</f>
        <v>199.91601050131399</v>
      </c>
      <c r="I104" s="206">
        <f>'2 CARRILES HCM'!I105</f>
        <v>569.76062992874483</v>
      </c>
      <c r="J104" s="207">
        <f t="shared" si="12"/>
        <v>19991.601050131398</v>
      </c>
      <c r="K104" s="107" t="e">
        <f t="shared" si="13"/>
        <v>#VALUE!</v>
      </c>
      <c r="L104" s="95" t="e">
        <f t="shared" si="9"/>
        <v>#VALUE!</v>
      </c>
      <c r="M104" s="45" t="e">
        <f t="shared" si="11"/>
        <v>#VALUE!</v>
      </c>
    </row>
    <row r="105" spans="1:13" x14ac:dyDescent="0.25">
      <c r="A105" s="41">
        <v>2041</v>
      </c>
      <c r="B105" s="41">
        <v>28</v>
      </c>
      <c r="C105" s="206">
        <f>'2 CARRILES HCM'!C106</f>
        <v>16452.487916226637</v>
      </c>
      <c r="D105" s="206">
        <f>'2 CARRILES HCM'!D106</f>
        <v>1111.9328504083085</v>
      </c>
      <c r="E105" s="206">
        <f>'2 CARRILES HCM'!E106</f>
        <v>1400.2117375512032</v>
      </c>
      <c r="F105" s="206">
        <f>'2 CARRILES HCM'!F106</f>
        <v>411.82698163270686</v>
      </c>
      <c r="G105" s="206">
        <f>'2 CARRILES HCM'!G106</f>
        <v>422.12265617352449</v>
      </c>
      <c r="H105" s="206">
        <f>'2 CARRILES HCM'!H106</f>
        <v>205.91349081635343</v>
      </c>
      <c r="I105" s="206">
        <f>'2 CARRILES HCM'!I106</f>
        <v>586.85344882660729</v>
      </c>
      <c r="J105" s="207">
        <f t="shared" si="12"/>
        <v>20591.349081635344</v>
      </c>
      <c r="K105" s="107" t="e">
        <f t="shared" si="13"/>
        <v>#VALUE!</v>
      </c>
      <c r="L105" s="95" t="e">
        <f t="shared" si="9"/>
        <v>#VALUE!</v>
      </c>
      <c r="M105" s="45" t="e">
        <f t="shared" si="11"/>
        <v>#VALUE!</v>
      </c>
    </row>
    <row r="106" spans="1:13" x14ac:dyDescent="0.25">
      <c r="A106" s="41">
        <v>2042</v>
      </c>
      <c r="B106" s="41">
        <v>29</v>
      </c>
      <c r="C106" s="206">
        <f>'2 CARRILES HCM'!C107</f>
        <v>16946.062553713437</v>
      </c>
      <c r="D106" s="206">
        <f>'2 CARRILES HCM'!D107</f>
        <v>1145.2908359205576</v>
      </c>
      <c r="E106" s="206">
        <f>'2 CARRILES HCM'!E107</f>
        <v>1442.2180896777393</v>
      </c>
      <c r="F106" s="206">
        <f>'2 CARRILES HCM'!F107</f>
        <v>424.181791081688</v>
      </c>
      <c r="G106" s="206">
        <f>'2 CARRILES HCM'!G107</f>
        <v>434.78633585873018</v>
      </c>
      <c r="H106" s="206">
        <f>'2 CARRILES HCM'!H107</f>
        <v>212.090895540844</v>
      </c>
      <c r="I106" s="206">
        <f>'2 CARRILES HCM'!I107</f>
        <v>604.45905229140544</v>
      </c>
      <c r="J106" s="207">
        <f t="shared" si="12"/>
        <v>21209.089554084399</v>
      </c>
      <c r="K106" s="107" t="e">
        <f t="shared" si="13"/>
        <v>#VALUE!</v>
      </c>
      <c r="L106" s="95" t="e">
        <f t="shared" si="9"/>
        <v>#VALUE!</v>
      </c>
      <c r="M106" s="45" t="e">
        <f t="shared" si="11"/>
        <v>#VALUE!</v>
      </c>
    </row>
    <row r="107" spans="1:13" x14ac:dyDescent="0.25">
      <c r="A107" s="41">
        <v>2043</v>
      </c>
      <c r="B107" s="41">
        <v>30</v>
      </c>
      <c r="C107" s="206">
        <f>'2 CARRILES HCM'!C108</f>
        <v>17454.444430324838</v>
      </c>
      <c r="D107" s="206">
        <f>'2 CARRILES HCM'!D108</f>
        <v>1179.6495609981744</v>
      </c>
      <c r="E107" s="206">
        <f>'2 CARRILES HCM'!E108</f>
        <v>1485.4846323680713</v>
      </c>
      <c r="F107" s="206">
        <f>'2 CARRILES HCM'!F108</f>
        <v>436.90724481413866</v>
      </c>
      <c r="G107" s="206">
        <f>'2 CARRILES HCM'!G108</f>
        <v>447.82992593449211</v>
      </c>
      <c r="H107" s="206">
        <f>'2 CARRILES HCM'!H108</f>
        <v>218.45362240706933</v>
      </c>
      <c r="I107" s="206">
        <f>'2 CARRILES HCM'!I108</f>
        <v>622.59282386014752</v>
      </c>
      <c r="J107" s="207">
        <f t="shared" si="12"/>
        <v>21845.362240706934</v>
      </c>
      <c r="K107" s="107" t="e">
        <f t="shared" si="13"/>
        <v>#VALUE!</v>
      </c>
      <c r="L107" s="95" t="e">
        <f t="shared" si="9"/>
        <v>#VALUE!</v>
      </c>
      <c r="M107" s="45" t="e">
        <f t="shared" si="11"/>
        <v>#VALUE!</v>
      </c>
    </row>
    <row r="108" spans="1:13" x14ac:dyDescent="0.25">
      <c r="A108" s="41">
        <v>2044</v>
      </c>
      <c r="B108" s="41">
        <v>31</v>
      </c>
      <c r="C108" s="206">
        <f>'2 CARRILES HCM'!C109</f>
        <v>17978.077763234585</v>
      </c>
      <c r="D108" s="206">
        <f>'2 CARRILES HCM'!D109</f>
        <v>1215.0390478281197</v>
      </c>
      <c r="E108" s="206">
        <f>'2 CARRILES HCM'!E109</f>
        <v>1530.0491713391139</v>
      </c>
      <c r="F108" s="206">
        <f>'2 CARRILES HCM'!F109</f>
        <v>450.01446215856288</v>
      </c>
      <c r="G108" s="206">
        <f>'2 CARRILES HCM'!G109</f>
        <v>461.26482371252695</v>
      </c>
      <c r="H108" s="206">
        <f>'2 CARRILES HCM'!H109</f>
        <v>225.00723107928144</v>
      </c>
      <c r="I108" s="206">
        <f>'2 CARRILES HCM'!I109</f>
        <v>641.27060857595211</v>
      </c>
      <c r="J108" s="207">
        <f>SUM(C108:I108)</f>
        <v>22500.723107928145</v>
      </c>
      <c r="K108" s="107" t="e">
        <f>F395</f>
        <v>#VALUE!</v>
      </c>
      <c r="L108" s="95" t="e">
        <f>IF(K108="E",60,M108)</f>
        <v>#VALUE!</v>
      </c>
      <c r="M108" s="45" t="e">
        <f>G395</f>
        <v>#VALUE!</v>
      </c>
    </row>
    <row r="109" spans="1:13" ht="15.75" thickBot="1" x14ac:dyDescent="0.3">
      <c r="A109" s="41">
        <v>2045</v>
      </c>
      <c r="B109" s="41">
        <v>32</v>
      </c>
      <c r="C109" s="206">
        <f>'2 CARRILES HCM'!C110</f>
        <v>18517.42009613162</v>
      </c>
      <c r="D109" s="206">
        <f>'2 CARRILES HCM'!D110</f>
        <v>1251.4902192629631</v>
      </c>
      <c r="E109" s="206">
        <f>'2 CARRILES HCM'!E110</f>
        <v>1575.9506464792869</v>
      </c>
      <c r="F109" s="206">
        <f>'2 CARRILES HCM'!F110</f>
        <v>463.51489602331969</v>
      </c>
      <c r="G109" s="206">
        <f>'2 CARRILES HCM'!G110</f>
        <v>475.10276842390266</v>
      </c>
      <c r="H109" s="206">
        <f>'2 CARRILES HCM'!H110</f>
        <v>231.75744801165985</v>
      </c>
      <c r="I109" s="206">
        <f>'2 CARRILES HCM'!I110</f>
        <v>660.50872683323053</v>
      </c>
      <c r="J109" s="207">
        <f>SUM(C109:I109)</f>
        <v>23175.744801165984</v>
      </c>
      <c r="K109" s="107" t="e">
        <f>F396</f>
        <v>#VALUE!</v>
      </c>
      <c r="L109" s="95" t="e">
        <f>IF(K109="E",60,M109)</f>
        <v>#VALUE!</v>
      </c>
      <c r="M109" s="45" t="e">
        <f>G396</f>
        <v>#VALUE!</v>
      </c>
    </row>
    <row r="110" spans="1:13" ht="15.75" thickBot="1" x14ac:dyDescent="0.3">
      <c r="A110" s="70"/>
      <c r="B110" s="71" t="s">
        <v>54</v>
      </c>
      <c r="C110" s="297">
        <f>'2 CARRILES HCM'!C111</f>
        <v>0.03</v>
      </c>
      <c r="D110" s="297">
        <f>'2 CARRILES HCM'!D111</f>
        <v>0.03</v>
      </c>
      <c r="E110" s="297">
        <f>'2 CARRILES HCM'!E111</f>
        <v>0.03</v>
      </c>
      <c r="F110" s="297">
        <f>'2 CARRILES HCM'!F111</f>
        <v>0.03</v>
      </c>
      <c r="G110" s="297">
        <f>'2 CARRILES HCM'!G111</f>
        <v>0.03</v>
      </c>
      <c r="H110" s="297">
        <f>'2 CARRILES HCM'!H111</f>
        <v>0.03</v>
      </c>
      <c r="I110" s="297">
        <f>'2 CARRILES HCM'!I111</f>
        <v>0.03</v>
      </c>
      <c r="J110" s="208">
        <f>SUM(C110:I110)/7</f>
        <v>0.03</v>
      </c>
    </row>
    <row r="113" spans="1:6" x14ac:dyDescent="0.25">
      <c r="A113" t="s">
        <v>164</v>
      </c>
    </row>
    <row r="114" spans="1:6" ht="15.75" thickBot="1" x14ac:dyDescent="0.3">
      <c r="A114" s="211" t="s">
        <v>165</v>
      </c>
      <c r="B114" s="211"/>
      <c r="D114" t="s">
        <v>166</v>
      </c>
    </row>
    <row r="115" spans="1:6" x14ac:dyDescent="0.25">
      <c r="A115" s="212" t="s">
        <v>167</v>
      </c>
      <c r="B115" s="213" t="s">
        <v>168</v>
      </c>
      <c r="D115" s="90" t="s">
        <v>169</v>
      </c>
      <c r="E115" s="214"/>
      <c r="F115" s="157">
        <f>'DATOS DE ENTRADA'!C45</f>
        <v>3.3</v>
      </c>
    </row>
    <row r="116" spans="1:6" ht="15.75" thickBot="1" x14ac:dyDescent="0.3">
      <c r="A116" s="94">
        <v>3.6</v>
      </c>
      <c r="B116" s="96">
        <v>0</v>
      </c>
      <c r="D116" s="98" t="s">
        <v>170</v>
      </c>
      <c r="E116" s="215"/>
      <c r="F116" s="216">
        <f>IF(F115&gt;=$A$116,$B$116,IF(AND(F115&lt;$A$116,F115&gt;=$A$117),$B$117,IF(AND(F115&lt;$A$117,F115&gt;=$A$118),B118,IF(AND(F115&lt;$A$118,F115&gt;=$A$119),$B$119,IF(AND(F115&lt;$A$119,F115&gt;=$A$120),$B$120,IF(AND(F115&lt;$A$120,F115&gt;=$A$121),$B$121,IF(AND(F115&lt;$A$121,F115&gt;=$A$122),$B$122,IF(F115&lt;$A$122,"ANCHO DE CARRIL INSUFICIENTE"))))))))</f>
        <v>3.1</v>
      </c>
    </row>
    <row r="117" spans="1:6" ht="15.75" thickBot="1" x14ac:dyDescent="0.3">
      <c r="A117" s="94">
        <v>3.5</v>
      </c>
      <c r="B117" s="96">
        <v>1</v>
      </c>
      <c r="D117" s="47" t="s">
        <v>90</v>
      </c>
    </row>
    <row r="118" spans="1:6" x14ac:dyDescent="0.25">
      <c r="A118" s="94">
        <v>3.4</v>
      </c>
      <c r="B118" s="96">
        <v>2.1</v>
      </c>
      <c r="D118" s="90" t="s">
        <v>171</v>
      </c>
      <c r="E118" s="214"/>
      <c r="F118" s="157">
        <f>'DATOS DE ENTRADA'!C80</f>
        <v>3.6</v>
      </c>
    </row>
    <row r="119" spans="1:6" ht="15.75" thickBot="1" x14ac:dyDescent="0.3">
      <c r="A119" s="94">
        <v>3.3</v>
      </c>
      <c r="B119" s="96">
        <v>3.1</v>
      </c>
      <c r="D119" s="98" t="s">
        <v>172</v>
      </c>
      <c r="E119" s="215"/>
      <c r="F119" s="216">
        <f>IF(F118&gt;=$A$116,$B$116,IF(AND(F118&lt;$A$116,F118&gt;=$A$117),$B$117,IF(AND(F118&lt;$A$117,F118&gt;=$A$118),B118,IF(AND(F118&lt;$A$118,F118&gt;=$A$119),$B$119,IF(AND(F118&lt;$A$119,F118&gt;=$A$120),$B$120,IF(AND(F118&lt;$A$120,F118&gt;=$A$121),$B$121,IF(AND(F118&lt;$A$121,F118&gt;=$A$122),$B$122,IF(F118&lt;$A$122,"ANCHO DE CARRIL INSUFICIENTE"))))))))</f>
        <v>0</v>
      </c>
    </row>
    <row r="120" spans="1:6" ht="15.75" thickBot="1" x14ac:dyDescent="0.3">
      <c r="A120" s="94">
        <v>3.2</v>
      </c>
      <c r="B120" s="96">
        <v>5.6</v>
      </c>
      <c r="D120" s="47" t="s">
        <v>173</v>
      </c>
    </row>
    <row r="121" spans="1:6" x14ac:dyDescent="0.25">
      <c r="A121" s="94">
        <v>3.1</v>
      </c>
      <c r="B121" s="96">
        <v>8.1</v>
      </c>
      <c r="D121" s="90" t="s">
        <v>171</v>
      </c>
      <c r="E121" s="214"/>
      <c r="F121" s="217">
        <f>'DATOS DE ENTRADA'!C115</f>
        <v>3.3</v>
      </c>
    </row>
    <row r="122" spans="1:6" ht="15.75" thickBot="1" x14ac:dyDescent="0.3">
      <c r="A122" s="98">
        <v>3</v>
      </c>
      <c r="B122" s="100">
        <v>10.6</v>
      </c>
      <c r="D122" s="98" t="s">
        <v>172</v>
      </c>
      <c r="E122" s="215"/>
      <c r="F122" s="216">
        <f>IF(F121&gt;=$A$116,$B$116,IF(AND(F121&lt;$A$116,F121&gt;=$A$117),$B$117,IF(AND(F121&lt;$A$117,F121&gt;=$A$118),B121,IF(AND(F121&lt;$A$118,F121&gt;=$A$119),$B$119,IF(AND(F121&lt;$A$119,F121&gt;=$A$120),$B$120,IF(AND(F121&lt;$A$120,F121&gt;=$A$121),$B$121,IF(AND(F121&lt;$A$121,F121&gt;=$A$122),$B$122,IF(F121&lt;$A$122,"ANCHO DE CARRIL INSUFICIENTE"))))))))</f>
        <v>3.1</v>
      </c>
    </row>
    <row r="124" spans="1:6" x14ac:dyDescent="0.25">
      <c r="A124" s="211" t="s">
        <v>174</v>
      </c>
      <c r="B124" s="211"/>
      <c r="C124" s="211"/>
    </row>
    <row r="125" spans="1:6" x14ac:dyDescent="0.25">
      <c r="A125" t="s">
        <v>175</v>
      </c>
    </row>
    <row r="126" spans="1:6" ht="15.75" thickBot="1" x14ac:dyDescent="0.3">
      <c r="A126" s="41" t="s">
        <v>176</v>
      </c>
      <c r="B126" s="41" t="s">
        <v>168</v>
      </c>
      <c r="D126" t="s">
        <v>166</v>
      </c>
    </row>
    <row r="127" spans="1:6" ht="15.75" thickBot="1" x14ac:dyDescent="0.3">
      <c r="A127" s="95">
        <v>3.6</v>
      </c>
      <c r="B127" s="95">
        <v>0</v>
      </c>
      <c r="D127" s="156" t="s">
        <v>177</v>
      </c>
      <c r="E127" s="218"/>
      <c r="F127" s="219">
        <f>'DATOS DE ENTRADA'!C38</f>
        <v>1</v>
      </c>
    </row>
    <row r="128" spans="1:6" x14ac:dyDescent="0.25">
      <c r="A128" s="95">
        <v>3</v>
      </c>
      <c r="B128" s="95">
        <v>0.6</v>
      </c>
      <c r="D128" s="90" t="s">
        <v>178</v>
      </c>
      <c r="E128" s="214"/>
      <c r="F128" s="157">
        <f>'DATOS DE ENTRADA'!C46</f>
        <v>1</v>
      </c>
    </row>
    <row r="129" spans="1:8" ht="15.75" thickBot="1" x14ac:dyDescent="0.3">
      <c r="A129" s="95">
        <v>2.4</v>
      </c>
      <c r="B129" s="95">
        <v>1.5</v>
      </c>
      <c r="D129" s="98" t="s">
        <v>179</v>
      </c>
      <c r="E129" s="215"/>
      <c r="F129" s="216" t="str">
        <f>IF(F128&gt;=$A$145,$B$145,IF(AND(F128&lt;$A$145,F128&gt;=$A$146),$B$146,IF(AND(F128&lt;$A$146,F128&gt;=$A$147),$B$147,IF(AND(F128&lt;$A$147,F128&gt;=$A$148),$B$148,IF(AND(F128&lt;$A$148,F128&gt;=$A$149),$B$149,IF(AND(F128&lt;$A$149,F128&gt;=$A$150),$B$150,IF(AND(F128&lt;$A$150,F128&gt;=$A$151),$B$151,IF(F128&lt;$A$151,"ANCHO DE CARRIL INSUFICIENTE"))))))))</f>
        <v>ANCHO DE CARRIL INSUFICIENTE</v>
      </c>
      <c r="G129" s="19"/>
      <c r="H129" s="19"/>
    </row>
    <row r="130" spans="1:8" ht="15.75" thickBot="1" x14ac:dyDescent="0.3">
      <c r="A130" s="95">
        <v>1.8</v>
      </c>
      <c r="B130" s="95">
        <v>2.1</v>
      </c>
      <c r="D130" s="47" t="s">
        <v>90</v>
      </c>
    </row>
    <row r="131" spans="1:8" ht="15.75" thickBot="1" x14ac:dyDescent="0.3">
      <c r="A131" s="95">
        <v>1.2</v>
      </c>
      <c r="B131" s="95">
        <v>3</v>
      </c>
      <c r="D131" s="156" t="s">
        <v>177</v>
      </c>
      <c r="E131" s="218"/>
      <c r="F131" s="219">
        <f>'DATOS DE ENTRADA'!C73</f>
        <v>2</v>
      </c>
    </row>
    <row r="132" spans="1:8" x14ac:dyDescent="0.25">
      <c r="A132" s="95">
        <v>0.6</v>
      </c>
      <c r="B132" s="95">
        <v>5.8</v>
      </c>
      <c r="D132" s="90" t="s">
        <v>180</v>
      </c>
      <c r="E132" s="214"/>
      <c r="F132" s="157">
        <f>'DATOS DE ENTRADA'!C81</f>
        <v>1.6</v>
      </c>
    </row>
    <row r="133" spans="1:8" ht="15.75" thickBot="1" x14ac:dyDescent="0.3">
      <c r="A133" s="95">
        <v>0</v>
      </c>
      <c r="B133" s="95">
        <v>8.6999999999999993</v>
      </c>
      <c r="D133" s="98" t="s">
        <v>172</v>
      </c>
      <c r="E133" s="215"/>
      <c r="F133" s="216">
        <f>IF(F132&gt;=$A$153,$B$153,IF(AND(F132&lt;$A$153,F132&gt;=$A$154),$B$154,IF(AND(F132&lt;$A$154,F132&gt;=$A$155),$B$155,IF(AND(F132&lt;$A$155,F132&gt;=$A$156),$B$156,IF(AND(F132&lt;$A$156,F132&gt;=$A$157),$B$157,IF(AND(F132&lt;$A$157,F132&gt;=$A$158),$B$158,IF(AND(F132&lt;$A$158,F132&gt;=$A$159),$B$159,IF(F132&lt;$A$159,"ANCHO DE CARRIL INSUFICIENTE"))))))))</f>
        <v>3</v>
      </c>
      <c r="G133" s="19"/>
      <c r="H133" s="19"/>
    </row>
    <row r="134" spans="1:8" ht="15.75" thickBot="1" x14ac:dyDescent="0.3">
      <c r="A134" t="s">
        <v>181</v>
      </c>
      <c r="D134" s="47" t="s">
        <v>173</v>
      </c>
    </row>
    <row r="135" spans="1:8" ht="15.75" thickBot="1" x14ac:dyDescent="0.3">
      <c r="A135" s="41" t="s">
        <v>176</v>
      </c>
      <c r="B135" s="41" t="s">
        <v>168</v>
      </c>
      <c r="D135" s="156" t="s">
        <v>177</v>
      </c>
      <c r="E135" s="218"/>
      <c r="F135" s="220">
        <f>'DATOS DE ENTRADA'!C108</f>
        <v>1</v>
      </c>
    </row>
    <row r="136" spans="1:8" x14ac:dyDescent="0.25">
      <c r="A136" s="95">
        <v>3.6</v>
      </c>
      <c r="B136" s="95">
        <v>0</v>
      </c>
      <c r="D136" s="90" t="s">
        <v>180</v>
      </c>
      <c r="E136" s="214"/>
      <c r="F136" s="217">
        <f>'DATOS DE ENTRADA'!C116</f>
        <v>1</v>
      </c>
    </row>
    <row r="137" spans="1:8" ht="15.75" thickBot="1" x14ac:dyDescent="0.3">
      <c r="A137" s="95">
        <v>3</v>
      </c>
      <c r="B137" s="95">
        <v>0.6</v>
      </c>
      <c r="D137" s="98" t="s">
        <v>172</v>
      </c>
      <c r="E137" s="215"/>
      <c r="F137" s="216" t="str">
        <f>IF(F136&gt;=$A$162,$B$162,IF(AND(F136&lt;$A$162,F136&gt;=$A$163),$B$163,IF(AND(F136&lt;$A$163,F136&gt;=$A$164),$B$164,IF(AND(F136&lt;$A$164,F136&gt;=$A$165),$B$165,IF(AND(F136&lt;$A$165,F136&gt;=$A$166),$B$166,IF(AND(F136&lt;$A$166,F136&gt;=$A$167),$B$167,IF(AND(F136&lt;$A$167,F136&gt;=$A$168),$B$168,IF(F136&lt;$A$168,"ANCHO DE CARRIL INSUFICIENTE"))))))))</f>
        <v>ANCHO DE CARRIL INSUFICIENTE</v>
      </c>
      <c r="G137" s="19"/>
      <c r="H137" s="19"/>
    </row>
    <row r="138" spans="1:8" x14ac:dyDescent="0.25">
      <c r="A138" s="95">
        <v>2.4</v>
      </c>
      <c r="B138" s="95">
        <v>1.5</v>
      </c>
    </row>
    <row r="139" spans="1:8" x14ac:dyDescent="0.25">
      <c r="A139" s="95">
        <v>1.8</v>
      </c>
      <c r="B139" s="95">
        <v>2.1</v>
      </c>
    </row>
    <row r="140" spans="1:8" x14ac:dyDescent="0.25">
      <c r="A140" s="95">
        <v>1.2</v>
      </c>
      <c r="B140" s="95">
        <v>2.7</v>
      </c>
    </row>
    <row r="141" spans="1:8" x14ac:dyDescent="0.25">
      <c r="A141" s="95">
        <v>0.6</v>
      </c>
      <c r="B141" s="95">
        <v>4.5</v>
      </c>
    </row>
    <row r="142" spans="1:8" x14ac:dyDescent="0.25">
      <c r="A142" s="95">
        <v>0</v>
      </c>
      <c r="B142" s="95">
        <v>6.3</v>
      </c>
    </row>
    <row r="144" spans="1:8" x14ac:dyDescent="0.25">
      <c r="A144" s="41" t="s">
        <v>176</v>
      </c>
      <c r="B144" s="41" t="s">
        <v>168</v>
      </c>
    </row>
    <row r="145" spans="1:6" x14ac:dyDescent="0.25">
      <c r="A145" s="41" t="str">
        <f>IF($F$127=2,A127,IF($F$127=3,A136,"ERROR"))</f>
        <v>ERROR</v>
      </c>
      <c r="B145" s="41" t="str">
        <f>IF($F$127=2,B127,IF($F$127=3,B136,"ERROR"))</f>
        <v>ERROR</v>
      </c>
    </row>
    <row r="146" spans="1:6" x14ac:dyDescent="0.25">
      <c r="A146" s="41" t="str">
        <f t="shared" ref="A146:B150" si="14">IF($F$127=2,A128,IF($F$127=3,A137,"ERROR"))</f>
        <v>ERROR</v>
      </c>
      <c r="B146" s="41" t="str">
        <f t="shared" si="14"/>
        <v>ERROR</v>
      </c>
    </row>
    <row r="147" spans="1:6" x14ac:dyDescent="0.25">
      <c r="A147" s="41" t="str">
        <f t="shared" si="14"/>
        <v>ERROR</v>
      </c>
      <c r="B147" s="41" t="str">
        <f t="shared" si="14"/>
        <v>ERROR</v>
      </c>
    </row>
    <row r="148" spans="1:6" x14ac:dyDescent="0.25">
      <c r="A148" s="41" t="str">
        <f t="shared" si="14"/>
        <v>ERROR</v>
      </c>
      <c r="B148" s="41" t="str">
        <f t="shared" si="14"/>
        <v>ERROR</v>
      </c>
    </row>
    <row r="149" spans="1:6" x14ac:dyDescent="0.25">
      <c r="A149" s="41" t="str">
        <f t="shared" si="14"/>
        <v>ERROR</v>
      </c>
      <c r="B149" s="41" t="str">
        <f t="shared" si="14"/>
        <v>ERROR</v>
      </c>
    </row>
    <row r="150" spans="1:6" x14ac:dyDescent="0.25">
      <c r="A150" s="41" t="str">
        <f t="shared" si="14"/>
        <v>ERROR</v>
      </c>
      <c r="B150" s="41" t="str">
        <f t="shared" si="14"/>
        <v>ERROR</v>
      </c>
    </row>
    <row r="151" spans="1:6" x14ac:dyDescent="0.25">
      <c r="A151" s="41" t="str">
        <f>IF($F$127=2,A133,IF($F$127=3,A142,"ERROR"))</f>
        <v>ERROR</v>
      </c>
      <c r="B151" s="41" t="str">
        <f>IF($F$127=2,B133,IF($F$127=3,B142,"ERROR"))</f>
        <v>ERROR</v>
      </c>
    </row>
    <row r="152" spans="1:6" x14ac:dyDescent="0.25">
      <c r="A152" s="41" t="s">
        <v>176</v>
      </c>
      <c r="B152" s="41" t="s">
        <v>168</v>
      </c>
    </row>
    <row r="153" spans="1:6" x14ac:dyDescent="0.25">
      <c r="A153" s="41">
        <f>IF($F$131=2,A127,IF($F$131=3,A136,"ERROR"))</f>
        <v>3.6</v>
      </c>
      <c r="B153" s="41">
        <f>IF($F$131=2,B127,IF($F$131=3,B136,"ERROR"))</f>
        <v>0</v>
      </c>
      <c r="D153" s="47"/>
      <c r="E153" s="47"/>
      <c r="F153" s="47"/>
    </row>
    <row r="154" spans="1:6" x14ac:dyDescent="0.25">
      <c r="A154" s="41">
        <f t="shared" ref="A154:B159" si="15">IF($F$131=2,A128,IF($F$131=3,A137,"ERROR"))</f>
        <v>3</v>
      </c>
      <c r="B154" s="41">
        <f t="shared" si="15"/>
        <v>0.6</v>
      </c>
      <c r="D154" s="47"/>
      <c r="E154" s="47"/>
      <c r="F154" s="221"/>
    </row>
    <row r="155" spans="1:6" x14ac:dyDescent="0.25">
      <c r="A155" s="41">
        <f t="shared" si="15"/>
        <v>2.4</v>
      </c>
      <c r="B155" s="41">
        <f t="shared" si="15"/>
        <v>1.5</v>
      </c>
      <c r="D155" s="47"/>
      <c r="E155" s="47"/>
      <c r="F155" s="47"/>
    </row>
    <row r="156" spans="1:6" x14ac:dyDescent="0.25">
      <c r="A156" s="41">
        <f t="shared" si="15"/>
        <v>1.8</v>
      </c>
      <c r="B156" s="41">
        <f t="shared" si="15"/>
        <v>2.1</v>
      </c>
      <c r="D156" s="47"/>
      <c r="E156" s="47"/>
      <c r="F156" s="47"/>
    </row>
    <row r="157" spans="1:6" x14ac:dyDescent="0.25">
      <c r="A157" s="41">
        <f t="shared" si="15"/>
        <v>1.2</v>
      </c>
      <c r="B157" s="41">
        <f t="shared" si="15"/>
        <v>3</v>
      </c>
      <c r="D157" s="47"/>
      <c r="E157" s="47"/>
      <c r="F157" s="221"/>
    </row>
    <row r="158" spans="1:6" x14ac:dyDescent="0.25">
      <c r="A158" s="41">
        <f t="shared" si="15"/>
        <v>0.6</v>
      </c>
      <c r="B158" s="41">
        <f t="shared" si="15"/>
        <v>5.8</v>
      </c>
    </row>
    <row r="159" spans="1:6" x14ac:dyDescent="0.25">
      <c r="A159" s="41">
        <f t="shared" si="15"/>
        <v>0</v>
      </c>
      <c r="B159" s="41">
        <f t="shared" si="15"/>
        <v>8.6999999999999993</v>
      </c>
    </row>
    <row r="160" spans="1:6" x14ac:dyDescent="0.25">
      <c r="A160" s="41" t="s">
        <v>176</v>
      </c>
      <c r="B160" s="41" t="s">
        <v>168</v>
      </c>
    </row>
    <row r="161" spans="1:7" x14ac:dyDescent="0.25">
      <c r="A161" s="41" t="str">
        <f>IF($F$131=2,A135,IF($F$131=3,A144,"ERROR"))</f>
        <v>DISTANCIA LATERAL</v>
      </c>
      <c r="B161" s="41" t="str">
        <f>IF($F$131=2,B135,IF($F$131=3,B144,"ERROR"))</f>
        <v>REDUCCIÓN Km/h</v>
      </c>
    </row>
    <row r="162" spans="1:7" x14ac:dyDescent="0.25">
      <c r="A162" s="41" t="str">
        <f>IF($F$135=2,A127,IF($F$135=3,A136,"ERROR"))</f>
        <v>ERROR</v>
      </c>
      <c r="B162" s="41" t="str">
        <f>IF($F$135=2,B127,IF($F$135=3,B136,"ERROR"))</f>
        <v>ERROR</v>
      </c>
    </row>
    <row r="163" spans="1:7" x14ac:dyDescent="0.25">
      <c r="A163" s="41" t="str">
        <f t="shared" ref="A163:B168" si="16">IF($F$135=2,A128,IF($F$135=3,A137,"ERROR"))</f>
        <v>ERROR</v>
      </c>
      <c r="B163" s="41" t="str">
        <f t="shared" si="16"/>
        <v>ERROR</v>
      </c>
    </row>
    <row r="164" spans="1:7" x14ac:dyDescent="0.25">
      <c r="A164" s="41" t="str">
        <f t="shared" si="16"/>
        <v>ERROR</v>
      </c>
      <c r="B164" s="41" t="str">
        <f t="shared" si="16"/>
        <v>ERROR</v>
      </c>
    </row>
    <row r="165" spans="1:7" x14ac:dyDescent="0.25">
      <c r="A165" s="41" t="str">
        <f t="shared" si="16"/>
        <v>ERROR</v>
      </c>
      <c r="B165" s="41" t="str">
        <f t="shared" si="16"/>
        <v>ERROR</v>
      </c>
    </row>
    <row r="166" spans="1:7" x14ac:dyDescent="0.25">
      <c r="A166" s="41" t="str">
        <f t="shared" si="16"/>
        <v>ERROR</v>
      </c>
      <c r="B166" s="41" t="str">
        <f t="shared" si="16"/>
        <v>ERROR</v>
      </c>
    </row>
    <row r="167" spans="1:7" x14ac:dyDescent="0.25">
      <c r="A167" s="41" t="str">
        <f t="shared" si="16"/>
        <v>ERROR</v>
      </c>
      <c r="B167" s="41" t="str">
        <f t="shared" si="16"/>
        <v>ERROR</v>
      </c>
    </row>
    <row r="168" spans="1:7" x14ac:dyDescent="0.25">
      <c r="A168" s="41" t="str">
        <f t="shared" si="16"/>
        <v>ERROR</v>
      </c>
      <c r="B168" s="41" t="str">
        <f t="shared" si="16"/>
        <v>ERROR</v>
      </c>
    </row>
    <row r="174" spans="1:7" x14ac:dyDescent="0.25">
      <c r="A174" s="211" t="s">
        <v>182</v>
      </c>
      <c r="B174" s="211"/>
      <c r="C174" s="222"/>
    </row>
    <row r="175" spans="1:7" ht="15.75" thickBot="1" x14ac:dyDescent="0.3">
      <c r="E175" t="s">
        <v>183</v>
      </c>
    </row>
    <row r="176" spans="1:7" ht="15.75" thickBot="1" x14ac:dyDescent="0.3">
      <c r="A176" t="s">
        <v>184</v>
      </c>
      <c r="E176" s="223" t="s">
        <v>185</v>
      </c>
      <c r="F176" s="224"/>
      <c r="G176" s="225" t="str">
        <f>'DATOS DE ENTRADA'!C50</f>
        <v>S</v>
      </c>
    </row>
    <row r="177" spans="1:7" ht="15.75" thickBot="1" x14ac:dyDescent="0.3">
      <c r="A177" s="90" t="s">
        <v>186</v>
      </c>
      <c r="B177" s="214"/>
      <c r="C177" s="157">
        <v>2.6</v>
      </c>
      <c r="E177" s="226" t="s">
        <v>187</v>
      </c>
      <c r="F177" s="108"/>
      <c r="G177" s="227"/>
    </row>
    <row r="178" spans="1:7" ht="15.75" thickBot="1" x14ac:dyDescent="0.3">
      <c r="A178" s="98" t="s">
        <v>188</v>
      </c>
      <c r="B178" s="215"/>
      <c r="C178" s="160">
        <v>0</v>
      </c>
      <c r="E178" s="156" t="s">
        <v>189</v>
      </c>
      <c r="F178" s="218"/>
      <c r="G178" s="228">
        <f>IF(G176="S",C177,IF(G176="N",C178,"INDICAR SI HAY SEPARACIÓN"))</f>
        <v>2.6</v>
      </c>
    </row>
    <row r="179" spans="1:7" ht="15.75" thickBot="1" x14ac:dyDescent="0.3">
      <c r="E179" s="47" t="s">
        <v>90</v>
      </c>
    </row>
    <row r="180" spans="1:7" x14ac:dyDescent="0.25">
      <c r="E180" s="223" t="s">
        <v>185</v>
      </c>
      <c r="F180" s="224"/>
      <c r="G180" s="225" t="str">
        <f>'DATOS DE ENTRADA'!C85</f>
        <v>S</v>
      </c>
    </row>
    <row r="181" spans="1:7" ht="15.75" thickBot="1" x14ac:dyDescent="0.3">
      <c r="E181" s="226" t="s">
        <v>187</v>
      </c>
      <c r="F181" s="108"/>
      <c r="G181" s="227"/>
    </row>
    <row r="182" spans="1:7" ht="15.75" thickBot="1" x14ac:dyDescent="0.3">
      <c r="E182" s="156" t="s">
        <v>189</v>
      </c>
      <c r="F182" s="218"/>
      <c r="G182" s="228">
        <f>IF(G180="S",C177,IF(G180="N",C178,"INDICAR SI HAY SEPARACIÓN"))</f>
        <v>2.6</v>
      </c>
    </row>
    <row r="183" spans="1:7" ht="15.75" thickBot="1" x14ac:dyDescent="0.3">
      <c r="E183" s="47" t="s">
        <v>173</v>
      </c>
    </row>
    <row r="184" spans="1:7" x14ac:dyDescent="0.25">
      <c r="E184" s="223" t="s">
        <v>185</v>
      </c>
      <c r="F184" s="224"/>
      <c r="G184" s="229" t="str">
        <f>'DATOS DE ENTRADA'!C120</f>
        <v>S</v>
      </c>
    </row>
    <row r="185" spans="1:7" ht="15.75" thickBot="1" x14ac:dyDescent="0.3">
      <c r="E185" s="226" t="s">
        <v>187</v>
      </c>
      <c r="F185" s="108"/>
      <c r="G185" s="227"/>
    </row>
    <row r="186" spans="1:7" ht="15.75" thickBot="1" x14ac:dyDescent="0.3">
      <c r="E186" s="156" t="s">
        <v>189</v>
      </c>
      <c r="F186" s="218"/>
      <c r="G186" s="228">
        <f>IF(G184="S",C177,IF(G184="N",C178,"INDICAR SI HAY SEPARACIÓN"))</f>
        <v>2.6</v>
      </c>
    </row>
    <row r="188" spans="1:7" x14ac:dyDescent="0.25">
      <c r="A188" s="211" t="s">
        <v>190</v>
      </c>
      <c r="B188" s="211"/>
    </row>
    <row r="189" spans="1:7" ht="15.75" thickBot="1" x14ac:dyDescent="0.3">
      <c r="E189" t="s">
        <v>183</v>
      </c>
    </row>
    <row r="190" spans="1:7" x14ac:dyDescent="0.25">
      <c r="A190" s="41" t="s">
        <v>26</v>
      </c>
      <c r="B190" s="41" t="s">
        <v>191</v>
      </c>
      <c r="E190" s="90" t="s">
        <v>26</v>
      </c>
      <c r="F190" s="230">
        <f>'DATOS DE ENTRADA'!C48</f>
        <v>5</v>
      </c>
    </row>
    <row r="191" spans="1:7" ht="15.75" thickBot="1" x14ac:dyDescent="0.3">
      <c r="A191" s="95">
        <v>0</v>
      </c>
      <c r="B191" s="95">
        <v>0</v>
      </c>
      <c r="E191" s="98" t="s">
        <v>192</v>
      </c>
      <c r="F191" s="231">
        <f>F190*(2/3)</f>
        <v>3.333333333333333</v>
      </c>
    </row>
    <row r="192" spans="1:7" ht="15.75" thickBot="1" x14ac:dyDescent="0.3">
      <c r="A192" s="95">
        <v>6</v>
      </c>
      <c r="B192" s="95">
        <v>4</v>
      </c>
      <c r="E192" s="47" t="s">
        <v>90</v>
      </c>
    </row>
    <row r="193" spans="1:8" x14ac:dyDescent="0.25">
      <c r="A193" s="95">
        <v>12</v>
      </c>
      <c r="B193" s="95">
        <v>8</v>
      </c>
      <c r="E193" s="90" t="s">
        <v>26</v>
      </c>
      <c r="F193" s="230">
        <f>'DATOS DE ENTRADA'!C83</f>
        <v>5</v>
      </c>
    </row>
    <row r="194" spans="1:8" ht="15.75" thickBot="1" x14ac:dyDescent="0.3">
      <c r="A194" s="95">
        <v>18</v>
      </c>
      <c r="B194" s="95">
        <v>12</v>
      </c>
      <c r="E194" s="98" t="s">
        <v>192</v>
      </c>
      <c r="F194" s="231">
        <f>F193*(2/3)</f>
        <v>3.333333333333333</v>
      </c>
    </row>
    <row r="195" spans="1:8" ht="15.75" thickBot="1" x14ac:dyDescent="0.3">
      <c r="A195" s="95">
        <v>24</v>
      </c>
      <c r="B195" s="95">
        <v>16</v>
      </c>
      <c r="E195" s="47" t="s">
        <v>173</v>
      </c>
    </row>
    <row r="196" spans="1:8" x14ac:dyDescent="0.25">
      <c r="E196" s="90" t="s">
        <v>26</v>
      </c>
      <c r="F196" s="232">
        <f>'DATOS DE ENTRADA'!C118</f>
        <v>5</v>
      </c>
      <c r="G196" s="36"/>
    </row>
    <row r="197" spans="1:8" ht="15.75" thickBot="1" x14ac:dyDescent="0.3">
      <c r="E197" s="98" t="s">
        <v>192</v>
      </c>
      <c r="F197" s="231">
        <f>F196*(2/3)</f>
        <v>3.333333333333333</v>
      </c>
      <c r="G197" s="36"/>
    </row>
    <row r="198" spans="1:8" x14ac:dyDescent="0.25">
      <c r="E198" s="47"/>
      <c r="F198" s="233"/>
      <c r="G198" s="36"/>
    </row>
    <row r="199" spans="1:8" x14ac:dyDescent="0.25">
      <c r="E199" s="47"/>
      <c r="F199" s="233"/>
      <c r="G199" s="36"/>
    </row>
    <row r="200" spans="1:8" x14ac:dyDescent="0.25">
      <c r="G200" s="36"/>
    </row>
    <row r="201" spans="1:8" x14ac:dyDescent="0.25">
      <c r="A201" s="211" t="s">
        <v>193</v>
      </c>
      <c r="B201" s="211"/>
      <c r="D201" s="104" t="s">
        <v>1</v>
      </c>
      <c r="E201" s="19"/>
      <c r="F201" s="36"/>
      <c r="G201" s="36"/>
      <c r="H201" t="s">
        <v>194</v>
      </c>
    </row>
    <row r="202" spans="1:8" x14ac:dyDescent="0.25">
      <c r="D202" s="201" t="s">
        <v>195</v>
      </c>
      <c r="E202" s="30">
        <f>'DATOS DE ENTRADA'!C43</f>
        <v>100</v>
      </c>
      <c r="F202" s="234" t="s">
        <v>196</v>
      </c>
      <c r="G202" s="36"/>
    </row>
    <row r="203" spans="1:8" x14ac:dyDescent="0.25">
      <c r="D203" s="104" t="s">
        <v>13</v>
      </c>
      <c r="E203" s="19"/>
    </row>
    <row r="204" spans="1:8" x14ac:dyDescent="0.25">
      <c r="D204" s="201" t="s">
        <v>195</v>
      </c>
      <c r="E204" s="30">
        <f>'DATOS DE ENTRADA'!C78</f>
        <v>100</v>
      </c>
      <c r="F204" s="234" t="s">
        <v>196</v>
      </c>
    </row>
    <row r="205" spans="1:8" x14ac:dyDescent="0.25">
      <c r="D205" s="104" t="s">
        <v>197</v>
      </c>
      <c r="E205" s="19"/>
    </row>
    <row r="206" spans="1:8" x14ac:dyDescent="0.25">
      <c r="D206" s="201" t="s">
        <v>195</v>
      </c>
      <c r="E206" s="235">
        <f>'DATOS DE ENTRADA'!C113</f>
        <v>100</v>
      </c>
      <c r="F206" s="234" t="s">
        <v>196</v>
      </c>
    </row>
    <row r="208" spans="1:8" x14ac:dyDescent="0.25">
      <c r="D208" s="104" t="s">
        <v>1</v>
      </c>
      <c r="E208" s="104"/>
    </row>
    <row r="209" spans="1:9" x14ac:dyDescent="0.25">
      <c r="D209" s="236" t="s">
        <v>76</v>
      </c>
      <c r="E209" s="237" t="e">
        <f>E202-F116-F129-G178-F191</f>
        <v>#VALUE!</v>
      </c>
    </row>
    <row r="210" spans="1:9" x14ac:dyDescent="0.25">
      <c r="D210" s="104" t="s">
        <v>13</v>
      </c>
      <c r="E210" s="104"/>
    </row>
    <row r="211" spans="1:9" x14ac:dyDescent="0.25">
      <c r="D211" s="236" t="s">
        <v>76</v>
      </c>
      <c r="E211" s="237">
        <f>E204-F119-F133-G182-F194</f>
        <v>91.066666666666677</v>
      </c>
    </row>
    <row r="212" spans="1:9" x14ac:dyDescent="0.25">
      <c r="D212" s="104" t="s">
        <v>197</v>
      </c>
      <c r="E212" s="104"/>
      <c r="I212" t="s">
        <v>194</v>
      </c>
    </row>
    <row r="213" spans="1:9" x14ac:dyDescent="0.25">
      <c r="D213" s="236" t="s">
        <v>76</v>
      </c>
      <c r="E213" s="237" t="e">
        <f>E206-F122-F137-G186-F197</f>
        <v>#VALUE!</v>
      </c>
    </row>
    <row r="214" spans="1:9" x14ac:dyDescent="0.25">
      <c r="D214" s="238"/>
      <c r="E214" s="233"/>
    </row>
    <row r="215" spans="1:9" x14ac:dyDescent="0.25">
      <c r="F215" s="70" t="s">
        <v>166</v>
      </c>
    </row>
    <row r="216" spans="1:9" x14ac:dyDescent="0.25">
      <c r="A216" s="211" t="s">
        <v>198</v>
      </c>
      <c r="B216" s="211"/>
      <c r="F216" s="43" t="s">
        <v>199</v>
      </c>
      <c r="G216" s="239">
        <f>1/(1+(H244*(H231-1))+(H245*(H232-1)))</f>
        <v>0.97394691989286575</v>
      </c>
    </row>
    <row r="217" spans="1:9" x14ac:dyDescent="0.25">
      <c r="F217" s="43" t="s">
        <v>200</v>
      </c>
      <c r="G217" s="239">
        <v>1</v>
      </c>
    </row>
    <row r="218" spans="1:9" x14ac:dyDescent="0.25">
      <c r="F218" s="70" t="s">
        <v>90</v>
      </c>
    </row>
    <row r="219" spans="1:9" x14ac:dyDescent="0.25">
      <c r="F219" s="43" t="s">
        <v>199</v>
      </c>
      <c r="G219" s="239">
        <f>1/(1+(H247*(H235-1))+(H248*(H236-1)))</f>
        <v>0.97394691989286575</v>
      </c>
    </row>
    <row r="220" spans="1:9" x14ac:dyDescent="0.25">
      <c r="F220" s="43" t="s">
        <v>200</v>
      </c>
      <c r="G220" s="239">
        <v>1</v>
      </c>
    </row>
    <row r="221" spans="1:9" x14ac:dyDescent="0.25">
      <c r="F221" s="70" t="s">
        <v>173</v>
      </c>
    </row>
    <row r="222" spans="1:9" x14ac:dyDescent="0.25">
      <c r="F222" s="43" t="s">
        <v>199</v>
      </c>
      <c r="G222" s="239">
        <f>1/(1+(H250*(H239-1))+(H251*(H240-1)))</f>
        <v>0.97394691989286575</v>
      </c>
    </row>
    <row r="223" spans="1:9" x14ac:dyDescent="0.25">
      <c r="F223" s="43" t="s">
        <v>200</v>
      </c>
      <c r="G223" s="239">
        <v>1</v>
      </c>
    </row>
    <row r="225" spans="1:9" x14ac:dyDescent="0.25">
      <c r="A225" s="41" t="s">
        <v>201</v>
      </c>
      <c r="B225" s="41" t="s">
        <v>96</v>
      </c>
      <c r="C225" s="41" t="s">
        <v>97</v>
      </c>
      <c r="D225" s="41" t="s">
        <v>202</v>
      </c>
    </row>
    <row r="226" spans="1:9" x14ac:dyDescent="0.25">
      <c r="A226" s="41" t="s">
        <v>98</v>
      </c>
      <c r="B226" s="95">
        <v>1.5</v>
      </c>
      <c r="C226" s="95">
        <v>2.5</v>
      </c>
      <c r="D226" s="95">
        <v>4.5</v>
      </c>
      <c r="G226" s="75" t="s">
        <v>203</v>
      </c>
      <c r="H226" s="43"/>
      <c r="I226" s="240" t="str">
        <f>'DATOS DE ENTRADA'!C44</f>
        <v>P</v>
      </c>
    </row>
    <row r="227" spans="1:9" x14ac:dyDescent="0.25">
      <c r="A227" s="41" t="s">
        <v>101</v>
      </c>
      <c r="B227" s="95">
        <v>1.2</v>
      </c>
      <c r="C227" s="95">
        <v>2</v>
      </c>
      <c r="D227" s="95">
        <v>4</v>
      </c>
      <c r="G227" s="43" t="s">
        <v>204</v>
      </c>
      <c r="H227" s="43"/>
      <c r="I227" s="240" t="str">
        <f>'DATOS DE ENTRADA'!C79</f>
        <v>P</v>
      </c>
    </row>
    <row r="228" spans="1:9" x14ac:dyDescent="0.25">
      <c r="G228" s="75" t="s">
        <v>205</v>
      </c>
      <c r="H228" s="43"/>
      <c r="I228" s="240" t="str">
        <f>'DATOS DE ENTRADA'!C114</f>
        <v>P</v>
      </c>
    </row>
    <row r="229" spans="1:9" x14ac:dyDescent="0.25">
      <c r="G229" s="70" t="s">
        <v>166</v>
      </c>
    </row>
    <row r="230" spans="1:9" x14ac:dyDescent="0.25">
      <c r="G230" s="41" t="s">
        <v>201</v>
      </c>
      <c r="H230" s="41" t="str">
        <f>IF($I$226="P",B225,IF($I$226="L",C225,IF($I$226="M",D225)))</f>
        <v>PLANO</v>
      </c>
    </row>
    <row r="231" spans="1:9" x14ac:dyDescent="0.25">
      <c r="G231" s="41" t="s">
        <v>98</v>
      </c>
      <c r="H231" s="241">
        <f>IF($I$226="P",B226,IF($I$226="L",C226,IF($I$226="M",D226)))</f>
        <v>1.5</v>
      </c>
    </row>
    <row r="232" spans="1:9" x14ac:dyDescent="0.25">
      <c r="G232" s="41" t="s">
        <v>101</v>
      </c>
      <c r="H232" s="241">
        <f>IF($I$226="P",B227,IF($I$226="L",C227,IF($I$226="M",D227)))</f>
        <v>1.2</v>
      </c>
    </row>
    <row r="233" spans="1:9" ht="15.75" thickBot="1" x14ac:dyDescent="0.3">
      <c r="G233" s="73" t="s">
        <v>90</v>
      </c>
    </row>
    <row r="234" spans="1:9" ht="15.75" thickBot="1" x14ac:dyDescent="0.3">
      <c r="A234" s="242" t="s">
        <v>142</v>
      </c>
      <c r="B234" s="189" t="s">
        <v>143</v>
      </c>
      <c r="D234" s="190"/>
      <c r="E234" s="190"/>
      <c r="G234" s="41" t="s">
        <v>201</v>
      </c>
      <c r="H234" s="41" t="str">
        <f>IF($I$227="P",B225,IF($I$227="L",C225,IF($I$227="M",D225)))</f>
        <v>PLANO</v>
      </c>
    </row>
    <row r="235" spans="1:9" x14ac:dyDescent="0.25">
      <c r="A235" s="191">
        <v>100</v>
      </c>
      <c r="B235" s="192">
        <v>0.83</v>
      </c>
      <c r="D235" s="193" t="s">
        <v>17</v>
      </c>
      <c r="E235" s="193"/>
      <c r="G235" s="41" t="s">
        <v>98</v>
      </c>
      <c r="H235" s="241">
        <f>IF($I$227="P",B226,IF($I$227="L",C226,IF($I$227="M",D226)))</f>
        <v>1.5</v>
      </c>
    </row>
    <row r="236" spans="1:9" x14ac:dyDescent="0.25">
      <c r="A236" s="194">
        <f>A235+100</f>
        <v>200</v>
      </c>
      <c r="B236" s="195">
        <v>0.87</v>
      </c>
      <c r="D236" s="193"/>
      <c r="E236" s="35" t="s">
        <v>143</v>
      </c>
      <c r="G236" s="41" t="s">
        <v>101</v>
      </c>
      <c r="H236" s="241">
        <f>IF($I$227="P",B227,IF($I$227="L",C227,IF($I$227="M",D227)))</f>
        <v>1.2</v>
      </c>
    </row>
    <row r="237" spans="1:9" x14ac:dyDescent="0.25">
      <c r="A237" s="194">
        <f t="shared" ref="A237:A253" si="17">A236+100</f>
        <v>300</v>
      </c>
      <c r="B237" s="195">
        <v>0.9</v>
      </c>
      <c r="D237" s="193" t="s">
        <v>46</v>
      </c>
      <c r="E237" s="196">
        <v>0.91</v>
      </c>
      <c r="G237" s="73" t="s">
        <v>173</v>
      </c>
    </row>
    <row r="238" spans="1:9" x14ac:dyDescent="0.25">
      <c r="A238" s="194">
        <f t="shared" si="17"/>
        <v>400</v>
      </c>
      <c r="B238" s="195">
        <v>0.91</v>
      </c>
      <c r="D238" s="193" t="s">
        <v>47</v>
      </c>
      <c r="E238" s="196">
        <v>0.92</v>
      </c>
      <c r="G238" s="41" t="s">
        <v>201</v>
      </c>
      <c r="H238" s="41" t="str">
        <f>IF($I$227="P",B225,IF($I$227="L",C225,IF($I$227="M",D225)))</f>
        <v>PLANO</v>
      </c>
    </row>
    <row r="239" spans="1:9" x14ac:dyDescent="0.25">
      <c r="A239" s="194">
        <f t="shared" si="17"/>
        <v>500</v>
      </c>
      <c r="B239" s="195">
        <v>0.91</v>
      </c>
      <c r="D239" s="193" t="s">
        <v>144</v>
      </c>
      <c r="E239" s="196">
        <v>0.94</v>
      </c>
      <c r="G239" s="41" t="s">
        <v>98</v>
      </c>
      <c r="H239" s="241">
        <f>IF($I$228="P",B226,IF($I$228="L",C226,IF($I$228="M",D226)))</f>
        <v>1.5</v>
      </c>
    </row>
    <row r="240" spans="1:9" x14ac:dyDescent="0.25">
      <c r="A240" s="194">
        <f t="shared" si="17"/>
        <v>600</v>
      </c>
      <c r="B240" s="195">
        <v>0.92</v>
      </c>
      <c r="D240" s="193" t="s">
        <v>145</v>
      </c>
      <c r="E240" s="196">
        <v>0.95</v>
      </c>
      <c r="G240" s="41" t="s">
        <v>101</v>
      </c>
      <c r="H240" s="241">
        <f>IF($I$228="P",B227,IF($I$228="L",C227,IF($I$228="M",D227)))</f>
        <v>1.2</v>
      </c>
    </row>
    <row r="241" spans="1:8" x14ac:dyDescent="0.25">
      <c r="A241" s="194">
        <f t="shared" si="17"/>
        <v>700</v>
      </c>
      <c r="B241" s="195">
        <v>0.92</v>
      </c>
      <c r="D241" s="193" t="s">
        <v>146</v>
      </c>
      <c r="E241" s="196">
        <v>1</v>
      </c>
    </row>
    <row r="242" spans="1:8" x14ac:dyDescent="0.25">
      <c r="A242" s="194">
        <f t="shared" si="17"/>
        <v>800</v>
      </c>
      <c r="B242" s="195">
        <v>0.93</v>
      </c>
      <c r="D242" s="31"/>
      <c r="E242" s="31"/>
    </row>
    <row r="243" spans="1:8" x14ac:dyDescent="0.25">
      <c r="A243" s="194">
        <f t="shared" si="17"/>
        <v>900</v>
      </c>
      <c r="B243" s="195">
        <v>0.93</v>
      </c>
      <c r="D243" s="31"/>
      <c r="E243" s="31"/>
      <c r="G243" s="70" t="s">
        <v>166</v>
      </c>
    </row>
    <row r="244" spans="1:8" x14ac:dyDescent="0.25">
      <c r="A244" s="194">
        <f t="shared" si="17"/>
        <v>1000</v>
      </c>
      <c r="B244" s="195">
        <v>0.93</v>
      </c>
      <c r="D244" s="31"/>
      <c r="E244" s="31"/>
      <c r="G244" s="20" t="s">
        <v>206</v>
      </c>
      <c r="H244" s="243">
        <f>SUM('DATOS DE ENTRADA'!C12:C17)/6</f>
        <v>3.3499999999999995E-2</v>
      </c>
    </row>
    <row r="245" spans="1:8" x14ac:dyDescent="0.25">
      <c r="A245" s="194">
        <f t="shared" si="17"/>
        <v>1100</v>
      </c>
      <c r="B245" s="195">
        <v>0.94</v>
      </c>
      <c r="D245" s="31"/>
      <c r="E245" s="31"/>
      <c r="G245" s="20" t="s">
        <v>207</v>
      </c>
      <c r="H245" s="203">
        <f>'DATOS DE ENTRADA'!C42</f>
        <v>0.05</v>
      </c>
    </row>
    <row r="246" spans="1:8" x14ac:dyDescent="0.25">
      <c r="A246" s="194">
        <f t="shared" si="17"/>
        <v>1200</v>
      </c>
      <c r="B246" s="195">
        <v>0.94</v>
      </c>
      <c r="D246" s="31"/>
      <c r="E246" s="31"/>
      <c r="G246" s="73" t="s">
        <v>90</v>
      </c>
      <c r="H246" s="205"/>
    </row>
    <row r="247" spans="1:8" x14ac:dyDescent="0.25">
      <c r="A247" s="159">
        <f t="shared" si="17"/>
        <v>1300</v>
      </c>
      <c r="B247" s="197">
        <v>0.94</v>
      </c>
      <c r="G247" s="20" t="s">
        <v>206</v>
      </c>
      <c r="H247" s="243">
        <f>SUM('DATOS DE ENTRADA'!C27:C32)/6</f>
        <v>3.3499999999999995E-2</v>
      </c>
    </row>
    <row r="248" spans="1:8" x14ac:dyDescent="0.25">
      <c r="A248" s="159">
        <f t="shared" si="17"/>
        <v>1400</v>
      </c>
      <c r="B248" s="197">
        <v>0.94</v>
      </c>
      <c r="G248" s="20" t="s">
        <v>207</v>
      </c>
      <c r="H248" s="244">
        <f>'DATOS DE ENTRADA'!C77</f>
        <v>0.05</v>
      </c>
    </row>
    <row r="249" spans="1:8" x14ac:dyDescent="0.25">
      <c r="A249" s="159">
        <f t="shared" si="17"/>
        <v>1500</v>
      </c>
      <c r="B249" s="197">
        <v>0.95</v>
      </c>
      <c r="G249" s="73" t="s">
        <v>173</v>
      </c>
      <c r="H249" s="205"/>
    </row>
    <row r="250" spans="1:8" x14ac:dyDescent="0.25">
      <c r="A250" s="159">
        <f t="shared" si="17"/>
        <v>1600</v>
      </c>
      <c r="B250" s="197">
        <v>0.95</v>
      </c>
      <c r="G250" s="20" t="s">
        <v>206</v>
      </c>
      <c r="H250" s="243">
        <f>SUM('DATOS DE ENTRADA'!C12:C17)/6</f>
        <v>3.3499999999999995E-2</v>
      </c>
    </row>
    <row r="251" spans="1:8" x14ac:dyDescent="0.25">
      <c r="A251" s="159">
        <f t="shared" si="17"/>
        <v>1700</v>
      </c>
      <c r="B251" s="197">
        <v>0.95</v>
      </c>
      <c r="G251" s="20" t="s">
        <v>207</v>
      </c>
      <c r="H251" s="244">
        <f>'DATOS DE ENTRADA'!C112</f>
        <v>0.05</v>
      </c>
    </row>
    <row r="252" spans="1:8" x14ac:dyDescent="0.25">
      <c r="A252" s="159">
        <f t="shared" si="17"/>
        <v>1800</v>
      </c>
      <c r="B252" s="197">
        <v>0.95</v>
      </c>
    </row>
    <row r="253" spans="1:8" ht="15.75" thickBot="1" x14ac:dyDescent="0.3">
      <c r="A253" s="160">
        <f t="shared" si="17"/>
        <v>1900</v>
      </c>
      <c r="B253" s="198">
        <v>0.96</v>
      </c>
    </row>
    <row r="255" spans="1:8" ht="15.75" thickBot="1" x14ac:dyDescent="0.3">
      <c r="D255" t="s">
        <v>17</v>
      </c>
    </row>
    <row r="256" spans="1:8" ht="15.75" thickBot="1" x14ac:dyDescent="0.3">
      <c r="B256" s="71" t="s">
        <v>208</v>
      </c>
      <c r="C256" s="245" t="s">
        <v>209</v>
      </c>
      <c r="D256" s="87" t="s">
        <v>46</v>
      </c>
      <c r="E256" s="87" t="s">
        <v>47</v>
      </c>
      <c r="F256" s="87" t="s">
        <v>144</v>
      </c>
      <c r="G256" s="87" t="s">
        <v>145</v>
      </c>
      <c r="H256" s="246" t="s">
        <v>146</v>
      </c>
    </row>
    <row r="257" spans="2:8" x14ac:dyDescent="0.25">
      <c r="B257" s="247"/>
      <c r="C257" s="91" t="s">
        <v>210</v>
      </c>
      <c r="D257" s="91">
        <v>7</v>
      </c>
      <c r="E257" s="91">
        <v>11</v>
      </c>
      <c r="F257" s="91">
        <v>16</v>
      </c>
      <c r="G257" s="91">
        <v>22</v>
      </c>
      <c r="H257" s="92">
        <v>25</v>
      </c>
    </row>
    <row r="258" spans="2:8" x14ac:dyDescent="0.25">
      <c r="B258" s="248" t="s">
        <v>211</v>
      </c>
      <c r="C258" s="95" t="s">
        <v>212</v>
      </c>
      <c r="D258" s="95">
        <v>100</v>
      </c>
      <c r="E258" s="95">
        <v>100</v>
      </c>
      <c r="F258" s="95">
        <v>98.4</v>
      </c>
      <c r="G258" s="95">
        <v>91.5</v>
      </c>
      <c r="H258" s="96">
        <v>88</v>
      </c>
    </row>
    <row r="259" spans="2:8" ht="15.75" thickBot="1" x14ac:dyDescent="0.3">
      <c r="B259" s="249"/>
      <c r="C259" s="99" t="s">
        <v>213</v>
      </c>
      <c r="D259" s="99">
        <v>700</v>
      </c>
      <c r="E259" s="99">
        <v>1100</v>
      </c>
      <c r="F259" s="99">
        <v>1575</v>
      </c>
      <c r="G259" s="99">
        <v>2015</v>
      </c>
      <c r="H259" s="100">
        <v>2200</v>
      </c>
    </row>
    <row r="260" spans="2:8" x14ac:dyDescent="0.25">
      <c r="B260" s="247"/>
      <c r="C260" s="91" t="s">
        <v>210</v>
      </c>
      <c r="D260" s="91">
        <v>7</v>
      </c>
      <c r="E260" s="91">
        <v>11</v>
      </c>
      <c r="F260" s="91">
        <v>16</v>
      </c>
      <c r="G260" s="91">
        <v>22</v>
      </c>
      <c r="H260" s="92">
        <v>26</v>
      </c>
    </row>
    <row r="261" spans="2:8" x14ac:dyDescent="0.25">
      <c r="B261" s="248" t="s">
        <v>214</v>
      </c>
      <c r="C261" s="95" t="s">
        <v>212</v>
      </c>
      <c r="D261" s="95">
        <v>90</v>
      </c>
      <c r="E261" s="95">
        <v>90</v>
      </c>
      <c r="F261" s="95">
        <v>89.8</v>
      </c>
      <c r="G261" s="95">
        <v>84.7</v>
      </c>
      <c r="H261" s="96">
        <v>80.8</v>
      </c>
    </row>
    <row r="262" spans="2:8" ht="15.75" thickBot="1" x14ac:dyDescent="0.3">
      <c r="B262" s="249"/>
      <c r="C262" s="99" t="s">
        <v>213</v>
      </c>
      <c r="D262" s="99">
        <v>630</v>
      </c>
      <c r="E262" s="99">
        <v>990</v>
      </c>
      <c r="F262" s="99">
        <v>1435</v>
      </c>
      <c r="G262" s="99">
        <v>1860</v>
      </c>
      <c r="H262" s="100">
        <v>2100</v>
      </c>
    </row>
    <row r="263" spans="2:8" x14ac:dyDescent="0.25">
      <c r="B263" s="247"/>
      <c r="C263" s="91" t="s">
        <v>210</v>
      </c>
      <c r="D263" s="91">
        <v>7</v>
      </c>
      <c r="E263" s="91">
        <v>11</v>
      </c>
      <c r="F263" s="91">
        <v>16</v>
      </c>
      <c r="G263" s="91">
        <v>22</v>
      </c>
      <c r="H263" s="92">
        <v>27</v>
      </c>
    </row>
    <row r="264" spans="2:8" x14ac:dyDescent="0.25">
      <c r="B264" s="248" t="s">
        <v>215</v>
      </c>
      <c r="C264" s="95" t="s">
        <v>212</v>
      </c>
      <c r="D264" s="95">
        <v>80</v>
      </c>
      <c r="E264" s="95">
        <v>80</v>
      </c>
      <c r="F264" s="95">
        <v>80</v>
      </c>
      <c r="G264" s="95">
        <v>77.599999999999994</v>
      </c>
      <c r="H264" s="96">
        <v>74.099999999999994</v>
      </c>
    </row>
    <row r="265" spans="2:8" ht="15.75" thickBot="1" x14ac:dyDescent="0.3">
      <c r="B265" s="249"/>
      <c r="C265" s="99" t="s">
        <v>213</v>
      </c>
      <c r="D265" s="99">
        <v>560</v>
      </c>
      <c r="E265" s="99">
        <v>880</v>
      </c>
      <c r="F265" s="99">
        <v>1280</v>
      </c>
      <c r="G265" s="99">
        <v>1705</v>
      </c>
      <c r="H265" s="100">
        <v>2000</v>
      </c>
    </row>
    <row r="266" spans="2:8" x14ac:dyDescent="0.25">
      <c r="B266" s="247"/>
      <c r="C266" s="91" t="s">
        <v>210</v>
      </c>
      <c r="D266" s="91">
        <v>7</v>
      </c>
      <c r="E266" s="91">
        <v>11</v>
      </c>
      <c r="F266" s="91">
        <v>16</v>
      </c>
      <c r="G266" s="91">
        <v>22</v>
      </c>
      <c r="H266" s="92">
        <v>28</v>
      </c>
    </row>
    <row r="267" spans="2:8" x14ac:dyDescent="0.25">
      <c r="B267" s="248" t="s">
        <v>216</v>
      </c>
      <c r="C267" s="95" t="s">
        <v>212</v>
      </c>
      <c r="D267" s="95">
        <v>70</v>
      </c>
      <c r="E267" s="95">
        <v>70</v>
      </c>
      <c r="F267" s="95">
        <v>70</v>
      </c>
      <c r="G267" s="95">
        <v>69.599999999999994</v>
      </c>
      <c r="H267" s="96">
        <v>67.900000000000006</v>
      </c>
    </row>
    <row r="268" spans="2:8" ht="15.75" thickBot="1" x14ac:dyDescent="0.3">
      <c r="B268" s="249"/>
      <c r="C268" s="99" t="s">
        <v>213</v>
      </c>
      <c r="D268" s="99">
        <v>490</v>
      </c>
      <c r="E268" s="99">
        <v>770</v>
      </c>
      <c r="F268" s="99">
        <v>1120</v>
      </c>
      <c r="G268" s="99">
        <v>1530</v>
      </c>
      <c r="H268" s="100">
        <v>1900</v>
      </c>
    </row>
    <row r="270" spans="2:8" ht="15.75" thickBot="1" x14ac:dyDescent="0.3">
      <c r="B270" s="211" t="s">
        <v>1</v>
      </c>
    </row>
    <row r="271" spans="2:8" ht="15.75" thickBot="1" x14ac:dyDescent="0.3">
      <c r="B271" s="71" t="s">
        <v>208</v>
      </c>
      <c r="C271" s="245" t="s">
        <v>209</v>
      </c>
      <c r="D271" s="87" t="s">
        <v>46</v>
      </c>
      <c r="E271" s="87" t="s">
        <v>47</v>
      </c>
      <c r="F271" s="87" t="s">
        <v>144</v>
      </c>
      <c r="G271" s="87" t="s">
        <v>145</v>
      </c>
      <c r="H271" s="246" t="s">
        <v>146</v>
      </c>
    </row>
    <row r="272" spans="2:8" ht="15.75" thickBot="1" x14ac:dyDescent="0.3">
      <c r="B272" s="250"/>
      <c r="C272" s="250" t="e">
        <f t="shared" ref="C272:H272" si="18">IF($E$209&gt;90,C257,IF(AND($E$209&lt;=90,$E$209&gt;80),C260,IF(AND($E$209&lt;=80,$E$209&gt;70),C263,IF($E$209&lt;=70,C266))))</f>
        <v>#VALUE!</v>
      </c>
      <c r="D272" s="250" t="e">
        <f t="shared" si="18"/>
        <v>#VALUE!</v>
      </c>
      <c r="E272" s="250" t="e">
        <f t="shared" si="18"/>
        <v>#VALUE!</v>
      </c>
      <c r="F272" s="250" t="e">
        <f t="shared" si="18"/>
        <v>#VALUE!</v>
      </c>
      <c r="G272" s="250" t="e">
        <f t="shared" si="18"/>
        <v>#VALUE!</v>
      </c>
      <c r="H272" s="251" t="e">
        <f t="shared" si="18"/>
        <v>#VALUE!</v>
      </c>
    </row>
    <row r="273" spans="2:8" ht="15.75" thickBot="1" x14ac:dyDescent="0.3">
      <c r="B273" s="250" t="e">
        <f t="shared" ref="B273:H274" si="19">IF($E$209&gt;90,B258,IF(AND($E$209&lt;=90,$E$209&gt;80),B261,IF(AND($E$209&lt;=80,$E$209&gt;70),B264,IF($E$209&lt;=70,B267))))</f>
        <v>#VALUE!</v>
      </c>
      <c r="C273" s="250" t="e">
        <f t="shared" si="19"/>
        <v>#VALUE!</v>
      </c>
      <c r="D273" s="250" t="e">
        <f>IF($E$209&gt;90,D258,IF(AND($E$209&lt;=90,$E$209&gt;80),D261,IF(AND($E$209&lt;=80,$E$209&gt;70),D264,IF($E$209&lt;=70,D267))))</f>
        <v>#VALUE!</v>
      </c>
      <c r="E273" s="250" t="e">
        <f t="shared" si="19"/>
        <v>#VALUE!</v>
      </c>
      <c r="F273" s="250" t="e">
        <f t="shared" si="19"/>
        <v>#VALUE!</v>
      </c>
      <c r="G273" s="250" t="e">
        <f t="shared" si="19"/>
        <v>#VALUE!</v>
      </c>
      <c r="H273" s="251" t="e">
        <f t="shared" si="19"/>
        <v>#VALUE!</v>
      </c>
    </row>
    <row r="274" spans="2:8" ht="15.75" thickBot="1" x14ac:dyDescent="0.3">
      <c r="B274" s="252"/>
      <c r="C274" s="252" t="e">
        <f t="shared" si="19"/>
        <v>#VALUE!</v>
      </c>
      <c r="D274" s="252" t="e">
        <f t="shared" si="19"/>
        <v>#VALUE!</v>
      </c>
      <c r="E274" s="252" t="e">
        <f t="shared" si="19"/>
        <v>#VALUE!</v>
      </c>
      <c r="F274" s="252" t="e">
        <f t="shared" si="19"/>
        <v>#VALUE!</v>
      </c>
      <c r="G274" s="252" t="e">
        <f t="shared" si="19"/>
        <v>#VALUE!</v>
      </c>
      <c r="H274" s="8" t="e">
        <f t="shared" si="19"/>
        <v>#VALUE!</v>
      </c>
    </row>
    <row r="275" spans="2:8" ht="15.75" thickBot="1" x14ac:dyDescent="0.3">
      <c r="B275" s="211" t="s">
        <v>13</v>
      </c>
    </row>
    <row r="276" spans="2:8" ht="15.75" thickBot="1" x14ac:dyDescent="0.3">
      <c r="B276" s="71" t="s">
        <v>208</v>
      </c>
      <c r="C276" s="245" t="s">
        <v>209</v>
      </c>
      <c r="D276" s="87" t="s">
        <v>46</v>
      </c>
      <c r="E276" s="87" t="s">
        <v>47</v>
      </c>
      <c r="F276" s="87" t="s">
        <v>144</v>
      </c>
      <c r="G276" s="87" t="s">
        <v>145</v>
      </c>
      <c r="H276" s="246" t="s">
        <v>146</v>
      </c>
    </row>
    <row r="277" spans="2:8" ht="15.75" thickBot="1" x14ac:dyDescent="0.3">
      <c r="B277" s="250"/>
      <c r="C277" s="250" t="str">
        <f t="shared" ref="C277:H279" si="20">IF($E$211&gt;90,C257,IF(AND($E$211&lt;=90,$E$211&gt;80),C260,IF(AND($E$211&lt;=80,$E$211&gt;70),C263,IF($E$211&lt;=70,C266))))</f>
        <v xml:space="preserve">DENSIDAD </v>
      </c>
      <c r="D277" s="250">
        <f t="shared" si="20"/>
        <v>7</v>
      </c>
      <c r="E277" s="250">
        <f t="shared" si="20"/>
        <v>11</v>
      </c>
      <c r="F277" s="250">
        <f t="shared" si="20"/>
        <v>16</v>
      </c>
      <c r="G277" s="250">
        <f t="shared" si="20"/>
        <v>22</v>
      </c>
      <c r="H277" s="251">
        <f t="shared" si="20"/>
        <v>25</v>
      </c>
    </row>
    <row r="278" spans="2:8" ht="15.75" thickBot="1" x14ac:dyDescent="0.3">
      <c r="B278" s="250" t="str">
        <f>IF($E$211&gt;90,B258,IF(AND($E$211&lt;=90,$E$211&gt;80),B261,IF(AND($E$211&lt;=80,$E$211&gt;70),B264,IF($E$211&lt;=70,B267))))</f>
        <v>100Km/h</v>
      </c>
      <c r="C278" s="250" t="str">
        <f t="shared" si="20"/>
        <v>VEL. PROM.</v>
      </c>
      <c r="D278" s="250">
        <f t="shared" si="20"/>
        <v>100</v>
      </c>
      <c r="E278" s="250">
        <f t="shared" si="20"/>
        <v>100</v>
      </c>
      <c r="F278" s="250">
        <f t="shared" si="20"/>
        <v>98.4</v>
      </c>
      <c r="G278" s="250">
        <f t="shared" si="20"/>
        <v>91.5</v>
      </c>
      <c r="H278" s="251">
        <f t="shared" si="20"/>
        <v>88</v>
      </c>
    </row>
    <row r="279" spans="2:8" ht="15.75" thickBot="1" x14ac:dyDescent="0.3">
      <c r="B279" s="252"/>
      <c r="C279" s="252" t="str">
        <f t="shared" si="20"/>
        <v>VP</v>
      </c>
      <c r="D279" s="252">
        <f t="shared" si="20"/>
        <v>700</v>
      </c>
      <c r="E279" s="252">
        <f t="shared" si="20"/>
        <v>1100</v>
      </c>
      <c r="F279" s="252">
        <f t="shared" si="20"/>
        <v>1575</v>
      </c>
      <c r="G279" s="252">
        <f t="shared" si="20"/>
        <v>2015</v>
      </c>
      <c r="H279" s="8">
        <f t="shared" si="20"/>
        <v>2200</v>
      </c>
    </row>
    <row r="280" spans="2:8" ht="15.75" thickBot="1" x14ac:dyDescent="0.3">
      <c r="B280" s="211" t="s">
        <v>197</v>
      </c>
      <c r="C280" s="176"/>
    </row>
    <row r="281" spans="2:8" ht="15.75" thickBot="1" x14ac:dyDescent="0.3">
      <c r="B281" s="71" t="s">
        <v>208</v>
      </c>
      <c r="C281" s="245" t="s">
        <v>209</v>
      </c>
      <c r="D281" s="87" t="s">
        <v>46</v>
      </c>
      <c r="E281" s="87" t="s">
        <v>47</v>
      </c>
      <c r="F281" s="87" t="s">
        <v>144</v>
      </c>
      <c r="G281" s="87" t="s">
        <v>145</v>
      </c>
      <c r="H281" s="246" t="s">
        <v>146</v>
      </c>
    </row>
    <row r="282" spans="2:8" ht="15.75" thickBot="1" x14ac:dyDescent="0.3">
      <c r="B282" s="250"/>
      <c r="C282" s="250" t="e">
        <f t="shared" ref="C282:G284" si="21">IF($E$213&gt;90,C257,IF(AND($E$213&lt;=90,$E$213&gt;80),C260,IF(AND($E$213&lt;=80,$E$213&gt;70),C263,IF($E$213&lt;=70,C266))))</f>
        <v>#VALUE!</v>
      </c>
      <c r="D282" s="250" t="e">
        <f t="shared" si="21"/>
        <v>#VALUE!</v>
      </c>
      <c r="E282" s="250" t="e">
        <f t="shared" si="21"/>
        <v>#VALUE!</v>
      </c>
      <c r="F282" s="250" t="e">
        <f t="shared" si="21"/>
        <v>#VALUE!</v>
      </c>
      <c r="G282" s="250" t="e">
        <f t="shared" si="21"/>
        <v>#VALUE!</v>
      </c>
      <c r="H282" s="251" t="e">
        <f>IF($E$213&gt;90,H257,IF(AND($E$213&lt;=90,$E$213&gt;80),H260,IF(AND($E$213&lt;=80,$E$213&gt;70),H263,IF($E$213&lt;=70,H266))))</f>
        <v>#VALUE!</v>
      </c>
    </row>
    <row r="283" spans="2:8" ht="15.75" thickBot="1" x14ac:dyDescent="0.3">
      <c r="B283" s="250" t="e">
        <f>IF($E$213&gt;90,B258,IF(AND($E$213&lt;=90,$E$213&gt;80),B261,IF(AND($E$213&lt;=80,$E$213&gt;70),B264,IF($E$213&lt;=70,B267))))</f>
        <v>#VALUE!</v>
      </c>
      <c r="C283" s="250" t="e">
        <f t="shared" si="21"/>
        <v>#VALUE!</v>
      </c>
      <c r="D283" s="250" t="e">
        <f t="shared" si="21"/>
        <v>#VALUE!</v>
      </c>
      <c r="E283" s="250" t="e">
        <f t="shared" si="21"/>
        <v>#VALUE!</v>
      </c>
      <c r="F283" s="250" t="e">
        <f t="shared" si="21"/>
        <v>#VALUE!</v>
      </c>
      <c r="G283" s="250" t="e">
        <f t="shared" si="21"/>
        <v>#VALUE!</v>
      </c>
      <c r="H283" s="251" t="e">
        <f>IF($E$213&gt;90,H258,IF(AND($E$213&lt;=90,$E$213&gt;80),H261,IF(AND($E$213&lt;=80,$E$213&gt;70),H264,IF($E$213&lt;=70,H267))))</f>
        <v>#VALUE!</v>
      </c>
    </row>
    <row r="284" spans="2:8" ht="15.75" thickBot="1" x14ac:dyDescent="0.3">
      <c r="B284" s="8"/>
      <c r="C284" s="252" t="e">
        <f t="shared" si="21"/>
        <v>#VALUE!</v>
      </c>
      <c r="D284" s="252" t="e">
        <f t="shared" si="21"/>
        <v>#VALUE!</v>
      </c>
      <c r="E284" s="252" t="e">
        <f t="shared" si="21"/>
        <v>#VALUE!</v>
      </c>
      <c r="F284" s="252" t="e">
        <f t="shared" si="21"/>
        <v>#VALUE!</v>
      </c>
      <c r="G284" s="252" t="e">
        <f t="shared" si="21"/>
        <v>#VALUE!</v>
      </c>
      <c r="H284" s="8" t="e">
        <f>IF($E$213&gt;90,H259,IF(AND($E$213&lt;=90,$E$213&gt;80),H262,IF(AND($E$213&lt;=80,$E$213&gt;70),H265,IF($E$213&lt;=70,H268))))</f>
        <v>#VALUE!</v>
      </c>
    </row>
    <row r="285" spans="2:8" x14ac:dyDescent="0.25">
      <c r="B285" s="49"/>
      <c r="C285" s="108"/>
      <c r="D285" s="108"/>
      <c r="E285" s="108"/>
      <c r="F285" s="108"/>
      <c r="G285" s="108"/>
      <c r="H285" s="108"/>
    </row>
    <row r="286" spans="2:8" x14ac:dyDescent="0.25">
      <c r="B286" s="253"/>
      <c r="C286" s="108"/>
      <c r="D286" s="108"/>
      <c r="E286" s="108"/>
      <c r="F286" s="108"/>
      <c r="G286" s="108"/>
      <c r="H286" s="108"/>
    </row>
    <row r="287" spans="2:8" x14ac:dyDescent="0.25">
      <c r="B287" s="253"/>
      <c r="C287" s="108"/>
      <c r="D287" s="108"/>
      <c r="E287" s="108"/>
      <c r="F287" s="108"/>
      <c r="G287" s="108"/>
      <c r="H287" s="108"/>
    </row>
    <row r="288" spans="2:8" x14ac:dyDescent="0.25">
      <c r="B288" s="253"/>
      <c r="C288" s="108"/>
      <c r="D288" s="108"/>
      <c r="E288" s="108"/>
      <c r="F288" s="108"/>
      <c r="G288" s="108"/>
      <c r="H288" s="108"/>
    </row>
    <row r="290" spans="1:10" x14ac:dyDescent="0.25">
      <c r="A290" s="211" t="s">
        <v>1</v>
      </c>
      <c r="G290" s="129"/>
    </row>
    <row r="291" spans="1:10" x14ac:dyDescent="0.25">
      <c r="A291" s="125" t="s">
        <v>18</v>
      </c>
      <c r="B291" s="125" t="s">
        <v>107</v>
      </c>
      <c r="C291" s="125" t="s">
        <v>143</v>
      </c>
      <c r="D291" s="151" t="s">
        <v>217</v>
      </c>
      <c r="E291" s="151" t="s">
        <v>145</v>
      </c>
      <c r="F291" s="125" t="s">
        <v>19</v>
      </c>
      <c r="G291" s="151" t="s">
        <v>218</v>
      </c>
    </row>
    <row r="292" spans="1:10" x14ac:dyDescent="0.25">
      <c r="A292" s="95">
        <v>0</v>
      </c>
      <c r="B292" s="200">
        <f t="shared" ref="B292:B322" si="22">J3/12</f>
        <v>375</v>
      </c>
      <c r="C292" s="95">
        <f t="shared" ref="C292:C322" si="23">IF(B292&lt;=100,0.83,IF(AND(B292&gt;100,B292&lt;=200),0.87,IF(AND(B292&gt;200,B292&lt;=300),0.9,IF(AND(B292&gt;300,B292&lt;=500),0.91,IF(AND(B292&gt;500,B292&lt;=700),0.92,IF(AND(B292&gt;700,B292&lt;=1000),0.93,IF(AND(B292&gt;1000,B292&lt;=1400),0.94,IF(AND(B292&gt;1400,B292&lt;=1800),0.95, IF(B292&gt;1800,0.96)))))))))</f>
        <v>0.91</v>
      </c>
      <c r="D292" s="69">
        <f t="shared" ref="D292:D322" si="24">B292/(C292*$F$127*$G$216*$G$217)</f>
        <v>423.11126373626377</v>
      </c>
      <c r="E292" s="254" t="e">
        <f>D292/$E$209</f>
        <v>#VALUE!</v>
      </c>
      <c r="F292" s="35" t="e">
        <f>IF(E292&lt;=7,"A",IF(AND(E292&gt;7,E292&lt;=11),"B",IF(AND(E292&gt;11,E292&lt;=16),"C",IF(AND(E292&gt;16,E292&lt;=22),"D",IF(AND(E292&gt;22,E292&lt;=28),"E",IF(E292&gt;28,"F"))))))</f>
        <v>#VALUE!</v>
      </c>
      <c r="G292" s="193" t="e">
        <f>IF(F292="A",$D$273,IF(F292="B",$E$273,IF(F292="C",$F$273,IF(F292="D",$G$273,IF(F292="E",$H$273)))))</f>
        <v>#VALUE!</v>
      </c>
    </row>
    <row r="293" spans="1:10" x14ac:dyDescent="0.25">
      <c r="A293" s="95">
        <v>1</v>
      </c>
      <c r="B293" s="200">
        <f t="shared" si="22"/>
        <v>386.25</v>
      </c>
      <c r="C293" s="95">
        <f t="shared" si="23"/>
        <v>0.91</v>
      </c>
      <c r="D293" s="69">
        <f t="shared" si="24"/>
        <v>435.80460164835165</v>
      </c>
      <c r="E293" s="254" t="e">
        <f t="shared" ref="E293:E322" si="25">D293/$E$209</f>
        <v>#VALUE!</v>
      </c>
      <c r="F293" s="35" t="e">
        <f t="shared" ref="F293:F358" si="26">IF(E293&lt;=7,"A",IF(AND(E293&gt;7,E293&lt;=11),"B",IF(AND(E293&gt;11,E293&lt;=16),"C",IF(AND(E293&gt;16,E293&lt;=22),"D",IF(AND(E293&gt;22,E293&lt;=28),"E",IF(E293&gt;28,"F"))))))</f>
        <v>#VALUE!</v>
      </c>
      <c r="G293" s="193" t="e">
        <f t="shared" ref="G293:G322" si="27">IF(F293="A",$D$273,IF(F293="B",$E$273,IF(F293="C",$F$273,IF(F293="D",$G$273,IF(F293="E",$H$273)))))</f>
        <v>#VALUE!</v>
      </c>
    </row>
    <row r="294" spans="1:10" x14ac:dyDescent="0.25">
      <c r="A294" s="95">
        <v>2</v>
      </c>
      <c r="B294" s="200">
        <f t="shared" si="22"/>
        <v>397.83749999999986</v>
      </c>
      <c r="C294" s="95">
        <f t="shared" si="23"/>
        <v>0.91</v>
      </c>
      <c r="D294" s="69">
        <f t="shared" si="24"/>
        <v>448.87873969780208</v>
      </c>
      <c r="E294" s="254" t="e">
        <f t="shared" si="25"/>
        <v>#VALUE!</v>
      </c>
      <c r="F294" s="35" t="e">
        <f t="shared" si="26"/>
        <v>#VALUE!</v>
      </c>
      <c r="G294" s="193" t="e">
        <f t="shared" si="27"/>
        <v>#VALUE!</v>
      </c>
    </row>
    <row r="295" spans="1:10" x14ac:dyDescent="0.25">
      <c r="A295" s="95">
        <v>3</v>
      </c>
      <c r="B295" s="200">
        <f t="shared" si="22"/>
        <v>409.77262500000001</v>
      </c>
      <c r="C295" s="95">
        <f t="shared" si="23"/>
        <v>0.91</v>
      </c>
      <c r="D295" s="69">
        <f t="shared" si="24"/>
        <v>462.34510188873628</v>
      </c>
      <c r="E295" s="254" t="e">
        <f t="shared" si="25"/>
        <v>#VALUE!</v>
      </c>
      <c r="F295" s="35" t="e">
        <f t="shared" si="26"/>
        <v>#VALUE!</v>
      </c>
      <c r="G295" s="193" t="e">
        <f t="shared" si="27"/>
        <v>#VALUE!</v>
      </c>
    </row>
    <row r="296" spans="1:10" x14ac:dyDescent="0.25">
      <c r="A296" s="95">
        <v>4</v>
      </c>
      <c r="B296" s="200">
        <f t="shared" si="22"/>
        <v>422.06580375000004</v>
      </c>
      <c r="C296" s="95">
        <f t="shared" si="23"/>
        <v>0.91</v>
      </c>
      <c r="D296" s="69">
        <f t="shared" si="24"/>
        <v>476.21545494539839</v>
      </c>
      <c r="E296" s="254" t="e">
        <f t="shared" si="25"/>
        <v>#VALUE!</v>
      </c>
      <c r="F296" s="35" t="e">
        <f t="shared" si="26"/>
        <v>#VALUE!</v>
      </c>
      <c r="G296" s="193" t="e">
        <f t="shared" si="27"/>
        <v>#VALUE!</v>
      </c>
      <c r="H296" s="31"/>
    </row>
    <row r="297" spans="1:10" x14ac:dyDescent="0.25">
      <c r="A297" s="95">
        <v>5</v>
      </c>
      <c r="B297" s="200">
        <f t="shared" si="22"/>
        <v>434.72777786249998</v>
      </c>
      <c r="C297" s="95">
        <f t="shared" si="23"/>
        <v>0.91</v>
      </c>
      <c r="D297" s="69">
        <f t="shared" si="24"/>
        <v>490.50191859376031</v>
      </c>
      <c r="E297" s="254" t="e">
        <f t="shared" si="25"/>
        <v>#VALUE!</v>
      </c>
      <c r="F297" s="35" t="e">
        <f t="shared" si="26"/>
        <v>#VALUE!</v>
      </c>
      <c r="G297" s="193" t="e">
        <f t="shared" si="27"/>
        <v>#VALUE!</v>
      </c>
      <c r="H297" s="31"/>
    </row>
    <row r="298" spans="1:10" x14ac:dyDescent="0.25">
      <c r="A298" s="95">
        <v>6</v>
      </c>
      <c r="B298" s="200">
        <f t="shared" si="22"/>
        <v>447.76961119837489</v>
      </c>
      <c r="C298" s="95">
        <f t="shared" si="23"/>
        <v>0.91</v>
      </c>
      <c r="D298" s="69">
        <f t="shared" si="24"/>
        <v>505.21697615157302</v>
      </c>
      <c r="E298" s="254" t="e">
        <f t="shared" si="25"/>
        <v>#VALUE!</v>
      </c>
      <c r="F298" s="35" t="e">
        <f t="shared" si="26"/>
        <v>#VALUE!</v>
      </c>
      <c r="G298" s="193" t="e">
        <f t="shared" si="27"/>
        <v>#VALUE!</v>
      </c>
      <c r="H298" s="31"/>
    </row>
    <row r="299" spans="1:10" x14ac:dyDescent="0.25">
      <c r="A299" s="95">
        <v>7</v>
      </c>
      <c r="B299" s="200">
        <f t="shared" si="22"/>
        <v>461.20269953432626</v>
      </c>
      <c r="C299" s="95">
        <f t="shared" si="23"/>
        <v>0.91</v>
      </c>
      <c r="D299" s="69">
        <f t="shared" si="24"/>
        <v>520.37348543612029</v>
      </c>
      <c r="E299" s="254" t="e">
        <f t="shared" si="25"/>
        <v>#VALUE!</v>
      </c>
      <c r="F299" s="35" t="e">
        <f t="shared" si="26"/>
        <v>#VALUE!</v>
      </c>
      <c r="G299" s="193" t="e">
        <f t="shared" si="27"/>
        <v>#VALUE!</v>
      </c>
      <c r="H299" s="31"/>
    </row>
    <row r="300" spans="1:10" x14ac:dyDescent="0.25">
      <c r="A300" s="95">
        <v>8</v>
      </c>
      <c r="B300" s="200">
        <f t="shared" si="22"/>
        <v>475.03878052035606</v>
      </c>
      <c r="C300" s="95">
        <f t="shared" si="23"/>
        <v>0.91</v>
      </c>
      <c r="D300" s="69">
        <f t="shared" si="24"/>
        <v>535.98468999920397</v>
      </c>
      <c r="E300" s="254" t="e">
        <f t="shared" si="25"/>
        <v>#VALUE!</v>
      </c>
      <c r="F300" s="35" t="e">
        <f t="shared" si="26"/>
        <v>#VALUE!</v>
      </c>
      <c r="G300" s="193" t="e">
        <f t="shared" si="27"/>
        <v>#VALUE!</v>
      </c>
      <c r="H300" s="31"/>
    </row>
    <row r="301" spans="1:10" x14ac:dyDescent="0.25">
      <c r="A301" s="95">
        <v>9</v>
      </c>
      <c r="B301" s="200">
        <f t="shared" si="22"/>
        <v>489.28994393596668</v>
      </c>
      <c r="C301" s="95">
        <f t="shared" si="23"/>
        <v>0.91</v>
      </c>
      <c r="D301" s="69">
        <f t="shared" si="24"/>
        <v>552.06423069918003</v>
      </c>
      <c r="E301" s="254" t="e">
        <f t="shared" si="25"/>
        <v>#VALUE!</v>
      </c>
      <c r="F301" s="35" t="e">
        <f t="shared" si="26"/>
        <v>#VALUE!</v>
      </c>
      <c r="G301" s="193" t="e">
        <f t="shared" si="27"/>
        <v>#VALUE!</v>
      </c>
      <c r="H301" s="31"/>
      <c r="I301" s="31"/>
      <c r="J301" s="31"/>
    </row>
    <row r="302" spans="1:10" x14ac:dyDescent="0.25">
      <c r="A302" s="95">
        <v>10</v>
      </c>
      <c r="B302" s="200">
        <f t="shared" si="22"/>
        <v>503.96864225404573</v>
      </c>
      <c r="C302" s="95">
        <f t="shared" si="23"/>
        <v>0.92</v>
      </c>
      <c r="D302" s="69">
        <f t="shared" si="24"/>
        <v>562.44543851558853</v>
      </c>
      <c r="E302" s="254" t="e">
        <f t="shared" si="25"/>
        <v>#VALUE!</v>
      </c>
      <c r="F302" s="35" t="e">
        <f t="shared" si="26"/>
        <v>#VALUE!</v>
      </c>
      <c r="G302" s="193" t="e">
        <f t="shared" si="27"/>
        <v>#VALUE!</v>
      </c>
    </row>
    <row r="303" spans="1:10" x14ac:dyDescent="0.25">
      <c r="A303" s="95">
        <v>11</v>
      </c>
      <c r="B303" s="200">
        <f t="shared" si="22"/>
        <v>519.0877015216671</v>
      </c>
      <c r="C303" s="95">
        <f t="shared" si="23"/>
        <v>0.92</v>
      </c>
      <c r="D303" s="69">
        <f t="shared" si="24"/>
        <v>579.31880167105624</v>
      </c>
      <c r="E303" s="254" t="e">
        <f t="shared" si="25"/>
        <v>#VALUE!</v>
      </c>
      <c r="F303" s="35" t="e">
        <f t="shared" si="26"/>
        <v>#VALUE!</v>
      </c>
      <c r="G303" s="193" t="e">
        <f t="shared" si="27"/>
        <v>#VALUE!</v>
      </c>
    </row>
    <row r="304" spans="1:10" x14ac:dyDescent="0.25">
      <c r="A304" s="95">
        <v>12</v>
      </c>
      <c r="B304" s="200">
        <f t="shared" si="22"/>
        <v>534.66033256731714</v>
      </c>
      <c r="C304" s="95">
        <f t="shared" si="23"/>
        <v>0.92</v>
      </c>
      <c r="D304" s="69">
        <f t="shared" si="24"/>
        <v>596.69836572118788</v>
      </c>
      <c r="E304" s="254" t="e">
        <f t="shared" si="25"/>
        <v>#VALUE!</v>
      </c>
      <c r="F304" s="35" t="e">
        <f t="shared" si="26"/>
        <v>#VALUE!</v>
      </c>
      <c r="G304" s="193" t="e">
        <f t="shared" si="27"/>
        <v>#VALUE!</v>
      </c>
    </row>
    <row r="305" spans="1:12" x14ac:dyDescent="0.25">
      <c r="A305" s="95">
        <v>13</v>
      </c>
      <c r="B305" s="200">
        <f t="shared" si="22"/>
        <v>550.70014254433647</v>
      </c>
      <c r="C305" s="95">
        <f t="shared" si="23"/>
        <v>0.92</v>
      </c>
      <c r="D305" s="69">
        <f t="shared" si="24"/>
        <v>614.59931669282332</v>
      </c>
      <c r="E305" s="254" t="e">
        <f t="shared" si="25"/>
        <v>#VALUE!</v>
      </c>
      <c r="F305" s="35" t="e">
        <f t="shared" si="26"/>
        <v>#VALUE!</v>
      </c>
      <c r="G305" s="193" t="e">
        <f t="shared" si="27"/>
        <v>#VALUE!</v>
      </c>
    </row>
    <row r="306" spans="1:12" x14ac:dyDescent="0.25">
      <c r="A306" s="95">
        <v>14</v>
      </c>
      <c r="B306" s="200">
        <f t="shared" si="22"/>
        <v>567.2211468206666</v>
      </c>
      <c r="C306" s="95">
        <f t="shared" si="23"/>
        <v>0.92</v>
      </c>
      <c r="D306" s="69">
        <f t="shared" si="24"/>
        <v>633.03729619360809</v>
      </c>
      <c r="E306" s="254" t="e">
        <f t="shared" si="25"/>
        <v>#VALUE!</v>
      </c>
      <c r="F306" s="35" t="e">
        <f t="shared" si="26"/>
        <v>#VALUE!</v>
      </c>
      <c r="G306" s="193" t="e">
        <f t="shared" si="27"/>
        <v>#VALUE!</v>
      </c>
      <c r="H306" s="47"/>
      <c r="I306" s="47"/>
      <c r="J306" s="47"/>
      <c r="K306" s="47"/>
      <c r="L306" s="47"/>
    </row>
    <row r="307" spans="1:12" x14ac:dyDescent="0.25">
      <c r="A307" s="95">
        <v>15</v>
      </c>
      <c r="B307" s="200">
        <f t="shared" si="22"/>
        <v>584.23778122528665</v>
      </c>
      <c r="C307" s="95">
        <f t="shared" si="23"/>
        <v>0.92</v>
      </c>
      <c r="D307" s="69">
        <f t="shared" si="24"/>
        <v>652.02841507941639</v>
      </c>
      <c r="E307" s="254" t="e">
        <f t="shared" si="25"/>
        <v>#VALUE!</v>
      </c>
      <c r="F307" s="35" t="e">
        <f t="shared" si="26"/>
        <v>#VALUE!</v>
      </c>
      <c r="G307" s="193" t="e">
        <f t="shared" si="27"/>
        <v>#VALUE!</v>
      </c>
      <c r="H307" s="47"/>
      <c r="I307" s="255"/>
      <c r="J307" s="47"/>
      <c r="K307" s="47"/>
      <c r="L307" s="47"/>
    </row>
    <row r="308" spans="1:12" x14ac:dyDescent="0.25">
      <c r="A308" s="95">
        <v>16</v>
      </c>
      <c r="B308" s="200">
        <f t="shared" si="22"/>
        <v>601.76491466204516</v>
      </c>
      <c r="C308" s="95">
        <f t="shared" si="23"/>
        <v>0.92</v>
      </c>
      <c r="D308" s="69">
        <f t="shared" si="24"/>
        <v>671.58926753179878</v>
      </c>
      <c r="E308" s="254" t="e">
        <f t="shared" si="25"/>
        <v>#VALUE!</v>
      </c>
      <c r="F308" s="35" t="e">
        <f t="shared" si="26"/>
        <v>#VALUE!</v>
      </c>
      <c r="G308" s="193" t="e">
        <f t="shared" si="27"/>
        <v>#VALUE!</v>
      </c>
      <c r="H308" s="47"/>
      <c r="I308" s="256"/>
      <c r="J308" s="233"/>
      <c r="K308" s="233"/>
      <c r="L308" s="47"/>
    </row>
    <row r="309" spans="1:12" x14ac:dyDescent="0.25">
      <c r="A309" s="95">
        <v>17</v>
      </c>
      <c r="B309" s="200">
        <f t="shared" si="22"/>
        <v>619.8178621019066</v>
      </c>
      <c r="C309" s="95">
        <f t="shared" si="23"/>
        <v>0.92</v>
      </c>
      <c r="D309" s="69">
        <f t="shared" si="24"/>
        <v>691.73694555775285</v>
      </c>
      <c r="E309" s="254" t="e">
        <f t="shared" si="25"/>
        <v>#VALUE!</v>
      </c>
      <c r="F309" s="35" t="e">
        <f t="shared" si="26"/>
        <v>#VALUE!</v>
      </c>
      <c r="G309" s="193" t="e">
        <f t="shared" si="27"/>
        <v>#VALUE!</v>
      </c>
      <c r="H309" s="47"/>
      <c r="I309" s="47"/>
      <c r="J309" s="47"/>
      <c r="K309" s="47"/>
      <c r="L309" s="47"/>
    </row>
    <row r="310" spans="1:12" x14ac:dyDescent="0.25">
      <c r="A310" s="95">
        <v>18</v>
      </c>
      <c r="B310" s="200">
        <f t="shared" si="22"/>
        <v>638.4123979649637</v>
      </c>
      <c r="C310" s="95">
        <f t="shared" si="23"/>
        <v>0.92</v>
      </c>
      <c r="D310" s="69">
        <f t="shared" si="24"/>
        <v>712.48905392448535</v>
      </c>
      <c r="E310" s="254" t="e">
        <f t="shared" si="25"/>
        <v>#VALUE!</v>
      </c>
      <c r="F310" s="35" t="e">
        <f t="shared" si="26"/>
        <v>#VALUE!</v>
      </c>
      <c r="G310" s="193" t="e">
        <f t="shared" si="27"/>
        <v>#VALUE!</v>
      </c>
      <c r="H310" s="257"/>
      <c r="I310" s="257"/>
      <c r="J310" s="257"/>
      <c r="K310" s="257"/>
      <c r="L310" s="47"/>
    </row>
    <row r="311" spans="1:12" x14ac:dyDescent="0.25">
      <c r="A311" s="95">
        <v>19</v>
      </c>
      <c r="B311" s="200">
        <f t="shared" si="22"/>
        <v>657.56476990391263</v>
      </c>
      <c r="C311" s="95">
        <f t="shared" si="23"/>
        <v>0.92</v>
      </c>
      <c r="D311" s="69">
        <f t="shared" si="24"/>
        <v>733.86372554221987</v>
      </c>
      <c r="E311" s="254" t="e">
        <f t="shared" si="25"/>
        <v>#VALUE!</v>
      </c>
      <c r="F311" s="35" t="e">
        <f t="shared" si="26"/>
        <v>#VALUE!</v>
      </c>
      <c r="G311" s="193" t="e">
        <f t="shared" si="27"/>
        <v>#VALUE!</v>
      </c>
      <c r="H311" s="253"/>
      <c r="I311" s="253"/>
      <c r="J311" s="253"/>
      <c r="K311" s="253"/>
      <c r="L311" s="47"/>
    </row>
    <row r="312" spans="1:12" x14ac:dyDescent="0.25">
      <c r="A312" s="95">
        <v>20</v>
      </c>
      <c r="B312" s="200">
        <f t="shared" si="22"/>
        <v>677.29171300103008</v>
      </c>
      <c r="C312" s="95">
        <f t="shared" si="23"/>
        <v>0.92</v>
      </c>
      <c r="D312" s="69">
        <f t="shared" si="24"/>
        <v>755.87963730848662</v>
      </c>
      <c r="E312" s="254" t="e">
        <f t="shared" si="25"/>
        <v>#VALUE!</v>
      </c>
      <c r="F312" s="35" t="e">
        <f t="shared" si="26"/>
        <v>#VALUE!</v>
      </c>
      <c r="G312" s="193" t="e">
        <f t="shared" si="27"/>
        <v>#VALUE!</v>
      </c>
      <c r="H312" s="258"/>
      <c r="I312" s="66"/>
      <c r="J312" s="66"/>
      <c r="K312" s="66"/>
      <c r="L312" s="47"/>
    </row>
    <row r="313" spans="1:12" x14ac:dyDescent="0.25">
      <c r="A313" s="95">
        <v>21</v>
      </c>
      <c r="B313" s="200">
        <f t="shared" si="22"/>
        <v>697.61046439106076</v>
      </c>
      <c r="C313" s="95">
        <f t="shared" si="23"/>
        <v>0.92</v>
      </c>
      <c r="D313" s="69">
        <f t="shared" si="24"/>
        <v>778.5560264277409</v>
      </c>
      <c r="E313" s="254" t="e">
        <f t="shared" si="25"/>
        <v>#VALUE!</v>
      </c>
      <c r="F313" s="35" t="e">
        <f t="shared" si="26"/>
        <v>#VALUE!</v>
      </c>
      <c r="G313" s="193" t="e">
        <f t="shared" si="27"/>
        <v>#VALUE!</v>
      </c>
      <c r="H313" s="47"/>
      <c r="I313" s="47"/>
      <c r="J313" s="47"/>
      <c r="K313" s="47"/>
      <c r="L313" s="47"/>
    </row>
    <row r="314" spans="1:12" x14ac:dyDescent="0.25">
      <c r="A314" s="95">
        <v>22</v>
      </c>
      <c r="B314" s="200">
        <f t="shared" si="22"/>
        <v>718.53877832279261</v>
      </c>
      <c r="C314" s="95">
        <f t="shared" si="23"/>
        <v>0.93</v>
      </c>
      <c r="D314" s="69">
        <f t="shared" si="24"/>
        <v>793.28998993863161</v>
      </c>
      <c r="E314" s="254" t="e">
        <f t="shared" si="25"/>
        <v>#VALUE!</v>
      </c>
      <c r="F314" s="35" t="e">
        <f t="shared" si="26"/>
        <v>#VALUE!</v>
      </c>
      <c r="G314" s="193" t="e">
        <f t="shared" si="27"/>
        <v>#VALUE!</v>
      </c>
    </row>
    <row r="315" spans="1:12" x14ac:dyDescent="0.25">
      <c r="A315" s="95">
        <v>23</v>
      </c>
      <c r="B315" s="200">
        <f t="shared" si="22"/>
        <v>740.09494167247647</v>
      </c>
      <c r="C315" s="95">
        <f t="shared" si="23"/>
        <v>0.93</v>
      </c>
      <c r="D315" s="69">
        <f t="shared" si="24"/>
        <v>817.0886896367906</v>
      </c>
      <c r="E315" s="254" t="e">
        <f t="shared" si="25"/>
        <v>#VALUE!</v>
      </c>
      <c r="F315" s="35" t="e">
        <f t="shared" si="26"/>
        <v>#VALUE!</v>
      </c>
      <c r="G315" s="193" t="e">
        <f t="shared" si="27"/>
        <v>#VALUE!</v>
      </c>
    </row>
    <row r="316" spans="1:12" x14ac:dyDescent="0.25">
      <c r="A316" s="95">
        <v>24</v>
      </c>
      <c r="B316" s="200">
        <f t="shared" si="22"/>
        <v>762.29778992265074</v>
      </c>
      <c r="C316" s="95">
        <f t="shared" si="23"/>
        <v>0.93</v>
      </c>
      <c r="D316" s="69">
        <f t="shared" si="24"/>
        <v>841.60135032589426</v>
      </c>
      <c r="E316" s="254" t="e">
        <f t="shared" si="25"/>
        <v>#VALUE!</v>
      </c>
      <c r="F316" s="35" t="e">
        <f t="shared" si="26"/>
        <v>#VALUE!</v>
      </c>
      <c r="G316" s="193" t="e">
        <f t="shared" si="27"/>
        <v>#VALUE!</v>
      </c>
    </row>
    <row r="317" spans="1:12" x14ac:dyDescent="0.25">
      <c r="A317" s="95">
        <v>25</v>
      </c>
      <c r="B317" s="200">
        <f t="shared" si="22"/>
        <v>785.16672362033023</v>
      </c>
      <c r="C317" s="95">
        <f t="shared" si="23"/>
        <v>0.93</v>
      </c>
      <c r="D317" s="69">
        <f t="shared" si="24"/>
        <v>866.8493908356711</v>
      </c>
      <c r="E317" s="254" t="e">
        <f t="shared" si="25"/>
        <v>#VALUE!</v>
      </c>
      <c r="F317" s="35" t="e">
        <f t="shared" si="26"/>
        <v>#VALUE!</v>
      </c>
      <c r="G317" s="193" t="e">
        <f t="shared" si="27"/>
        <v>#VALUE!</v>
      </c>
    </row>
    <row r="318" spans="1:12" x14ac:dyDescent="0.25">
      <c r="A318" s="95">
        <v>26</v>
      </c>
      <c r="B318" s="200">
        <f t="shared" si="22"/>
        <v>808.72172532894012</v>
      </c>
      <c r="C318" s="95">
        <f t="shared" si="23"/>
        <v>0.93</v>
      </c>
      <c r="D318" s="69">
        <f t="shared" si="24"/>
        <v>892.85487256074123</v>
      </c>
      <c r="E318" s="254" t="e">
        <f t="shared" si="25"/>
        <v>#VALUE!</v>
      </c>
      <c r="F318" s="35" t="e">
        <f t="shared" si="26"/>
        <v>#VALUE!</v>
      </c>
      <c r="G318" s="193" t="e">
        <f t="shared" si="27"/>
        <v>#VALUE!</v>
      </c>
    </row>
    <row r="319" spans="1:12" x14ac:dyDescent="0.25">
      <c r="A319" s="95">
        <v>27</v>
      </c>
      <c r="B319" s="200">
        <f t="shared" si="22"/>
        <v>832.9833770888082</v>
      </c>
      <c r="C319" s="95">
        <f t="shared" si="23"/>
        <v>0.93</v>
      </c>
      <c r="D319" s="69">
        <f t="shared" si="24"/>
        <v>919.6405187375633</v>
      </c>
      <c r="E319" s="254" t="e">
        <f t="shared" si="25"/>
        <v>#VALUE!</v>
      </c>
      <c r="F319" s="35" t="e">
        <f t="shared" si="26"/>
        <v>#VALUE!</v>
      </c>
      <c r="G319" s="193" t="e">
        <f t="shared" si="27"/>
        <v>#VALUE!</v>
      </c>
    </row>
    <row r="320" spans="1:12" x14ac:dyDescent="0.25">
      <c r="A320" s="95">
        <v>28</v>
      </c>
      <c r="B320" s="200">
        <f t="shared" si="22"/>
        <v>857.97287840147271</v>
      </c>
      <c r="C320" s="95">
        <f t="shared" si="23"/>
        <v>0.93</v>
      </c>
      <c r="D320" s="69">
        <f t="shared" si="24"/>
        <v>947.22973429969045</v>
      </c>
      <c r="E320" s="254" t="e">
        <f t="shared" si="25"/>
        <v>#VALUE!</v>
      </c>
      <c r="F320" s="35" t="e">
        <f t="shared" si="26"/>
        <v>#VALUE!</v>
      </c>
      <c r="G320" s="193" t="e">
        <f t="shared" si="27"/>
        <v>#VALUE!</v>
      </c>
    </row>
    <row r="321" spans="1:7" x14ac:dyDescent="0.25">
      <c r="A321" s="95">
        <v>29</v>
      </c>
      <c r="B321" s="200">
        <f t="shared" si="22"/>
        <v>883.71206475351664</v>
      </c>
      <c r="C321" s="95">
        <f t="shared" si="23"/>
        <v>0.93</v>
      </c>
      <c r="D321" s="69">
        <f t="shared" si="24"/>
        <v>975.6466263286809</v>
      </c>
      <c r="E321" s="254" t="e">
        <f t="shared" si="25"/>
        <v>#VALUE!</v>
      </c>
      <c r="F321" s="35" t="e">
        <f t="shared" si="26"/>
        <v>#VALUE!</v>
      </c>
      <c r="G321" s="193" t="e">
        <f t="shared" si="27"/>
        <v>#VALUE!</v>
      </c>
    </row>
    <row r="322" spans="1:7" x14ac:dyDescent="0.25">
      <c r="A322" s="95">
        <v>30</v>
      </c>
      <c r="B322" s="200">
        <f t="shared" si="22"/>
        <v>910.22342669612226</v>
      </c>
      <c r="C322" s="95">
        <f t="shared" si="23"/>
        <v>0.93</v>
      </c>
      <c r="D322" s="69">
        <f t="shared" si="24"/>
        <v>1004.9160251185415</v>
      </c>
      <c r="E322" s="254" t="e">
        <f t="shared" si="25"/>
        <v>#VALUE!</v>
      </c>
      <c r="F322" s="35" t="e">
        <f t="shared" si="26"/>
        <v>#VALUE!</v>
      </c>
      <c r="G322" s="193" t="e">
        <f t="shared" si="27"/>
        <v>#VALUE!</v>
      </c>
    </row>
    <row r="323" spans="1:7" x14ac:dyDescent="0.25">
      <c r="A323" s="95">
        <v>31</v>
      </c>
      <c r="B323" s="200">
        <f>J34/12</f>
        <v>937.53012949700599</v>
      </c>
      <c r="C323" s="95">
        <f>IF(B323&lt;=100,0.83,IF(AND(B323&gt;100,B323&lt;=200),0.87,IF(AND(B323&gt;200,B323&lt;=300),0.9,IF(AND(B323&gt;300,B323&lt;=500),0.91,IF(AND(B323&gt;500,B323&lt;=700),0.92,IF(AND(B323&gt;700,B323&lt;=1000),0.93,IF(AND(B323&gt;1000,B323&lt;=1400),0.94,IF(AND(B323&gt;1400,B323&lt;=1800),0.95, IF(B323&gt;1800,0.96)))))))))</f>
        <v>0.93</v>
      </c>
      <c r="D323" s="69">
        <f>B323/(C323*$F$127*$G$216*$G$217)</f>
        <v>1035.0635058720977</v>
      </c>
      <c r="E323" s="254" t="e">
        <f>D323/$E$209</f>
        <v>#VALUE!</v>
      </c>
      <c r="F323" s="35" t="e">
        <f>IF(E323&lt;=7,"A",IF(AND(E323&gt;7,E323&lt;=11),"B",IF(AND(E323&gt;11,E323&lt;=16),"C",IF(AND(E323&gt;16,E323&lt;=22),"D",IF(AND(E323&gt;22,E323&lt;=28),"E",IF(E323&gt;28,"F"))))))</f>
        <v>#VALUE!</v>
      </c>
      <c r="G323" s="193" t="e">
        <f>IF(F323="A",$D$273,IF(F323="B",$E$273,IF(F323="C",$F$273,IF(F323="D",$G$273,IF(F323="E",$H$273)))))</f>
        <v>#VALUE!</v>
      </c>
    </row>
    <row r="324" spans="1:7" x14ac:dyDescent="0.25">
      <c r="A324" s="95">
        <v>32</v>
      </c>
      <c r="B324" s="200">
        <f>J35/12</f>
        <v>965.65603338191602</v>
      </c>
      <c r="C324" s="95">
        <f>IF(B324&lt;=100,0.83,IF(AND(B324&gt;100,B324&lt;=200),0.87,IF(AND(B324&gt;200,B324&lt;=300),0.9,IF(AND(B324&gt;300,B324&lt;=500),0.91,IF(AND(B324&gt;500,B324&lt;=700),0.92,IF(AND(B324&gt;700,B324&lt;=1000),0.93,IF(AND(B324&gt;1000,B324&lt;=1400),0.94,IF(AND(B324&gt;1400,B324&lt;=1800),0.95, IF(B324&gt;1800,0.96)))))))))</f>
        <v>0.93</v>
      </c>
      <c r="D324" s="69">
        <f>B324/(C324*$F$127*$G$216*$G$217)</f>
        <v>1066.1154110482605</v>
      </c>
      <c r="E324" s="254" t="e">
        <f>D324/$E$209</f>
        <v>#VALUE!</v>
      </c>
      <c r="F324" s="35" t="e">
        <f>IF(E324&lt;=7,"A",IF(AND(E324&gt;7,E324&lt;=11),"B",IF(AND(E324&gt;11,E324&lt;=16),"C",IF(AND(E324&gt;16,E324&lt;=22),"D",IF(AND(E324&gt;22,E324&lt;=28),"E",IF(E324&gt;28,"F"))))))</f>
        <v>#VALUE!</v>
      </c>
      <c r="G324" s="193" t="e">
        <f>IF(F324="A",$D$273,IF(F324="B",$E$273,IF(F324="C",$F$273,IF(F324="D",$G$273,IF(F324="E",$H$273)))))</f>
        <v>#VALUE!</v>
      </c>
    </row>
    <row r="325" spans="1:7" x14ac:dyDescent="0.25">
      <c r="F325" s="129"/>
      <c r="G325" s="31"/>
    </row>
    <row r="326" spans="1:7" x14ac:dyDescent="0.25">
      <c r="A326" s="211" t="s">
        <v>13</v>
      </c>
      <c r="F326" s="129"/>
      <c r="G326" s="31"/>
    </row>
    <row r="327" spans="1:7" x14ac:dyDescent="0.25">
      <c r="A327" s="125" t="s">
        <v>18</v>
      </c>
      <c r="B327" s="125" t="s">
        <v>107</v>
      </c>
      <c r="C327" s="125" t="s">
        <v>143</v>
      </c>
      <c r="D327" s="151" t="s">
        <v>217</v>
      </c>
      <c r="E327" s="151" t="s">
        <v>145</v>
      </c>
      <c r="F327" s="125" t="s">
        <v>19</v>
      </c>
      <c r="G327" s="151" t="s">
        <v>218</v>
      </c>
    </row>
    <row r="328" spans="1:7" x14ac:dyDescent="0.25">
      <c r="A328" s="95">
        <v>0</v>
      </c>
      <c r="B328" s="200">
        <f t="shared" ref="B328:B358" si="28">J40/12</f>
        <v>375</v>
      </c>
      <c r="C328" s="95">
        <f t="shared" ref="C328:C358" si="29">IF(B328&lt;=100,0.83,IF(AND(B328&gt;100,B328&lt;=200),0.87,IF(AND(B328&gt;200,B328&lt;=300),0.9,IF(AND(B328&gt;300,B328&lt;=500),0.91,IF(AND(B328&gt;500,B328&lt;=700),0.92,IF(AND(B328&gt;700,B328&lt;=1000),0.93,IF(AND(B328&gt;1000,B328&lt;=1400),0.94,IF(AND(B328&gt;1400,B328&lt;=1800),0.95, IF(B328&gt;1800,0.96)))))))))</f>
        <v>0.91</v>
      </c>
      <c r="D328" s="69">
        <f t="shared" ref="D328:D358" si="30">B328/(C328*$F$131*$G$219*$G$220)</f>
        <v>211.55563186813188</v>
      </c>
      <c r="E328" s="254">
        <f t="shared" ref="E328:E358" si="31">D328/$E$211</f>
        <v>2.3230852694157962</v>
      </c>
      <c r="F328" s="35" t="str">
        <f>IF(E328&lt;=7,"A",IF(AND(E328&gt;7,E328&lt;=11),"B",IF(AND(E328&gt;11,E328&lt;=16),"C",IF(AND(E328&gt;16,E328&lt;=22),"D",IF(AND(E328&gt;22,E328&lt;=28),"E",IF(E328&gt;28,"F"))))))</f>
        <v>A</v>
      </c>
      <c r="G328" s="193">
        <f>IF(F328="A",$D$278,IF(F328="B",$E$278,IF(F328="C",$F$278,IF(F328="D",$G$278,IF(F328="E",$H$278)))))</f>
        <v>100</v>
      </c>
    </row>
    <row r="329" spans="1:7" x14ac:dyDescent="0.25">
      <c r="A329" s="95">
        <v>1</v>
      </c>
      <c r="B329" s="200">
        <f t="shared" si="28"/>
        <v>386.25</v>
      </c>
      <c r="C329" s="95">
        <f t="shared" si="29"/>
        <v>0.91</v>
      </c>
      <c r="D329" s="69">
        <f t="shared" si="30"/>
        <v>217.90230082417582</v>
      </c>
      <c r="E329" s="254">
        <f t="shared" si="31"/>
        <v>2.3927778274982701</v>
      </c>
      <c r="F329" s="35" t="str">
        <f t="shared" si="26"/>
        <v>A</v>
      </c>
      <c r="G329" s="193">
        <f t="shared" ref="G329:G357" si="32">IF(F329="A",$D$278,IF(F329="B",$E$278,IF(F329="C",$F$278,IF(F329="D",$G$278,IF(F329="E",$H$278)))))</f>
        <v>100</v>
      </c>
    </row>
    <row r="330" spans="1:7" x14ac:dyDescent="0.25">
      <c r="A330" s="95">
        <v>2</v>
      </c>
      <c r="B330" s="200">
        <f t="shared" si="28"/>
        <v>397.83749999999986</v>
      </c>
      <c r="C330" s="95">
        <f t="shared" si="29"/>
        <v>0.91</v>
      </c>
      <c r="D330" s="69">
        <f t="shared" si="30"/>
        <v>224.43936984890104</v>
      </c>
      <c r="E330" s="254">
        <f t="shared" si="31"/>
        <v>2.4645611623232178</v>
      </c>
      <c r="F330" s="35" t="str">
        <f t="shared" si="26"/>
        <v>A</v>
      </c>
      <c r="G330" s="193">
        <f t="shared" si="32"/>
        <v>100</v>
      </c>
    </row>
    <row r="331" spans="1:7" x14ac:dyDescent="0.25">
      <c r="A331" s="95">
        <v>3</v>
      </c>
      <c r="B331" s="200">
        <f t="shared" si="28"/>
        <v>409.77262500000001</v>
      </c>
      <c r="C331" s="95">
        <f t="shared" si="29"/>
        <v>0.91</v>
      </c>
      <c r="D331" s="69">
        <f t="shared" si="30"/>
        <v>231.17255094436814</v>
      </c>
      <c r="E331" s="254">
        <f t="shared" si="31"/>
        <v>2.5384979971929149</v>
      </c>
      <c r="F331" s="35" t="str">
        <f t="shared" si="26"/>
        <v>A</v>
      </c>
      <c r="G331" s="193">
        <f t="shared" si="32"/>
        <v>100</v>
      </c>
    </row>
    <row r="332" spans="1:7" x14ac:dyDescent="0.25">
      <c r="A332" s="95">
        <v>4</v>
      </c>
      <c r="B332" s="200">
        <f t="shared" si="28"/>
        <v>422.06580375000004</v>
      </c>
      <c r="C332" s="95">
        <f t="shared" si="29"/>
        <v>0.91</v>
      </c>
      <c r="D332" s="69">
        <f t="shared" si="30"/>
        <v>238.1077274726992</v>
      </c>
      <c r="E332" s="254">
        <f t="shared" si="31"/>
        <v>2.6146529371087026</v>
      </c>
      <c r="F332" s="35" t="str">
        <f t="shared" si="26"/>
        <v>A</v>
      </c>
      <c r="G332" s="193">
        <f t="shared" si="32"/>
        <v>100</v>
      </c>
    </row>
    <row r="333" spans="1:7" x14ac:dyDescent="0.25">
      <c r="A333" s="95">
        <v>5</v>
      </c>
      <c r="B333" s="200">
        <f t="shared" si="28"/>
        <v>434.72777786249998</v>
      </c>
      <c r="C333" s="95">
        <f t="shared" si="29"/>
        <v>0.91</v>
      </c>
      <c r="D333" s="69">
        <f t="shared" si="30"/>
        <v>245.25095929688015</v>
      </c>
      <c r="E333" s="254">
        <f t="shared" si="31"/>
        <v>2.6930925252219633</v>
      </c>
      <c r="F333" s="35" t="str">
        <f t="shared" si="26"/>
        <v>A</v>
      </c>
      <c r="G333" s="193">
        <f t="shared" si="32"/>
        <v>100</v>
      </c>
    </row>
    <row r="334" spans="1:7" x14ac:dyDescent="0.25">
      <c r="A334" s="95">
        <v>6</v>
      </c>
      <c r="B334" s="200">
        <f t="shared" si="28"/>
        <v>447.76961119837489</v>
      </c>
      <c r="C334" s="95">
        <f t="shared" si="29"/>
        <v>0.91</v>
      </c>
      <c r="D334" s="69">
        <f t="shared" si="30"/>
        <v>252.60848807578651</v>
      </c>
      <c r="E334" s="254">
        <f t="shared" si="31"/>
        <v>2.7738853009786215</v>
      </c>
      <c r="F334" s="35" t="str">
        <f t="shared" si="26"/>
        <v>A</v>
      </c>
      <c r="G334" s="193">
        <f t="shared" si="32"/>
        <v>100</v>
      </c>
    </row>
    <row r="335" spans="1:7" x14ac:dyDescent="0.25">
      <c r="A335" s="95">
        <v>7</v>
      </c>
      <c r="B335" s="200">
        <f t="shared" si="28"/>
        <v>461.20269953432626</v>
      </c>
      <c r="C335" s="95">
        <f t="shared" si="29"/>
        <v>0.91</v>
      </c>
      <c r="D335" s="69">
        <f t="shared" si="30"/>
        <v>260.18674271806015</v>
      </c>
      <c r="E335" s="254">
        <f t="shared" si="31"/>
        <v>2.8571018600079809</v>
      </c>
      <c r="F335" s="35" t="str">
        <f t="shared" si="26"/>
        <v>A</v>
      </c>
      <c r="G335" s="193">
        <f t="shared" si="32"/>
        <v>100</v>
      </c>
    </row>
    <row r="336" spans="1:7" x14ac:dyDescent="0.25">
      <c r="A336" s="95">
        <v>8</v>
      </c>
      <c r="B336" s="200">
        <f t="shared" si="28"/>
        <v>475.03878052035606</v>
      </c>
      <c r="C336" s="95">
        <f t="shared" si="29"/>
        <v>0.91</v>
      </c>
      <c r="D336" s="69">
        <f t="shared" si="30"/>
        <v>267.99234499960198</v>
      </c>
      <c r="E336" s="254">
        <f t="shared" si="31"/>
        <v>2.9428149158082206</v>
      </c>
      <c r="F336" s="35" t="str">
        <f t="shared" si="26"/>
        <v>A</v>
      </c>
      <c r="G336" s="193">
        <f t="shared" si="32"/>
        <v>100</v>
      </c>
    </row>
    <row r="337" spans="1:7" x14ac:dyDescent="0.25">
      <c r="A337" s="95">
        <v>9</v>
      </c>
      <c r="B337" s="200">
        <f t="shared" si="28"/>
        <v>489.28994393596668</v>
      </c>
      <c r="C337" s="95">
        <f t="shared" si="29"/>
        <v>0.91</v>
      </c>
      <c r="D337" s="69">
        <f t="shared" si="30"/>
        <v>276.03211534959001</v>
      </c>
      <c r="E337" s="254">
        <f t="shared" si="31"/>
        <v>3.031099363282467</v>
      </c>
      <c r="F337" s="35" t="str">
        <f t="shared" si="26"/>
        <v>A</v>
      </c>
      <c r="G337" s="193">
        <f t="shared" si="32"/>
        <v>100</v>
      </c>
    </row>
    <row r="338" spans="1:7" x14ac:dyDescent="0.25">
      <c r="A338" s="95">
        <v>10</v>
      </c>
      <c r="B338" s="200">
        <f t="shared" si="28"/>
        <v>503.96864225404573</v>
      </c>
      <c r="C338" s="95">
        <f t="shared" si="29"/>
        <v>0.92</v>
      </c>
      <c r="D338" s="69">
        <f t="shared" si="30"/>
        <v>281.22271925779427</v>
      </c>
      <c r="E338" s="254">
        <f t="shared" si="31"/>
        <v>3.0880972100050612</v>
      </c>
      <c r="F338" s="35" t="str">
        <f t="shared" si="26"/>
        <v>A</v>
      </c>
      <c r="G338" s="193">
        <f t="shared" si="32"/>
        <v>100</v>
      </c>
    </row>
    <row r="339" spans="1:7" x14ac:dyDescent="0.25">
      <c r="A339" s="95">
        <v>11</v>
      </c>
      <c r="B339" s="200">
        <f t="shared" si="28"/>
        <v>519.0877015216671</v>
      </c>
      <c r="C339" s="95">
        <f t="shared" si="29"/>
        <v>0.92</v>
      </c>
      <c r="D339" s="69">
        <f t="shared" si="30"/>
        <v>289.65940083552812</v>
      </c>
      <c r="E339" s="254">
        <f t="shared" si="31"/>
        <v>3.1807401263052131</v>
      </c>
      <c r="F339" s="35" t="str">
        <f t="shared" si="26"/>
        <v>A</v>
      </c>
      <c r="G339" s="193">
        <f t="shared" si="32"/>
        <v>100</v>
      </c>
    </row>
    <row r="340" spans="1:7" x14ac:dyDescent="0.25">
      <c r="A340" s="95">
        <v>12</v>
      </c>
      <c r="B340" s="200">
        <f t="shared" si="28"/>
        <v>534.66033256731714</v>
      </c>
      <c r="C340" s="95">
        <f t="shared" si="29"/>
        <v>0.92</v>
      </c>
      <c r="D340" s="69">
        <f t="shared" si="30"/>
        <v>298.34918286059394</v>
      </c>
      <c r="E340" s="254">
        <f t="shared" si="31"/>
        <v>3.2761623300943694</v>
      </c>
      <c r="F340" s="35" t="str">
        <f t="shared" si="26"/>
        <v>A</v>
      </c>
      <c r="G340" s="193">
        <f t="shared" si="32"/>
        <v>100</v>
      </c>
    </row>
    <row r="341" spans="1:7" x14ac:dyDescent="0.25">
      <c r="A341" s="95">
        <v>13</v>
      </c>
      <c r="B341" s="200">
        <f t="shared" si="28"/>
        <v>550.70014254433647</v>
      </c>
      <c r="C341" s="95">
        <f t="shared" si="29"/>
        <v>0.92</v>
      </c>
      <c r="D341" s="69">
        <f t="shared" si="30"/>
        <v>307.29965834641166</v>
      </c>
      <c r="E341" s="254">
        <f t="shared" si="31"/>
        <v>3.3744471999971992</v>
      </c>
      <c r="F341" s="35" t="str">
        <f t="shared" si="26"/>
        <v>A</v>
      </c>
      <c r="G341" s="193">
        <f t="shared" si="32"/>
        <v>100</v>
      </c>
    </row>
    <row r="342" spans="1:7" x14ac:dyDescent="0.25">
      <c r="A342" s="95">
        <v>14</v>
      </c>
      <c r="B342" s="200">
        <f t="shared" si="28"/>
        <v>567.2211468206666</v>
      </c>
      <c r="C342" s="95">
        <f t="shared" si="29"/>
        <v>0.92</v>
      </c>
      <c r="D342" s="69">
        <f t="shared" si="30"/>
        <v>316.51864809680404</v>
      </c>
      <c r="E342" s="254">
        <f t="shared" si="31"/>
        <v>3.4756806159971156</v>
      </c>
      <c r="F342" s="35" t="str">
        <f t="shared" si="26"/>
        <v>A</v>
      </c>
      <c r="G342" s="193">
        <f t="shared" si="32"/>
        <v>100</v>
      </c>
    </row>
    <row r="343" spans="1:7" x14ac:dyDescent="0.25">
      <c r="A343" s="95">
        <v>15</v>
      </c>
      <c r="B343" s="200">
        <f t="shared" si="28"/>
        <v>584.23778122528665</v>
      </c>
      <c r="C343" s="95">
        <f t="shared" si="29"/>
        <v>0.92</v>
      </c>
      <c r="D343" s="69">
        <f t="shared" si="30"/>
        <v>326.0142075397082</v>
      </c>
      <c r="E343" s="254">
        <f t="shared" si="31"/>
        <v>3.5799510344770296</v>
      </c>
      <c r="F343" s="35" t="str">
        <f t="shared" si="26"/>
        <v>A</v>
      </c>
      <c r="G343" s="193">
        <f t="shared" si="32"/>
        <v>100</v>
      </c>
    </row>
    <row r="344" spans="1:7" x14ac:dyDescent="0.25">
      <c r="A344" s="95">
        <v>16</v>
      </c>
      <c r="B344" s="200">
        <f t="shared" si="28"/>
        <v>601.76491466204516</v>
      </c>
      <c r="C344" s="95">
        <f t="shared" si="29"/>
        <v>0.92</v>
      </c>
      <c r="D344" s="69">
        <f t="shared" si="30"/>
        <v>335.79463376589939</v>
      </c>
      <c r="E344" s="254">
        <f t="shared" si="31"/>
        <v>3.6873495655113397</v>
      </c>
      <c r="F344" s="35" t="str">
        <f t="shared" si="26"/>
        <v>A</v>
      </c>
      <c r="G344" s="193">
        <f t="shared" si="32"/>
        <v>100</v>
      </c>
    </row>
    <row r="345" spans="1:7" x14ac:dyDescent="0.25">
      <c r="A345" s="95">
        <v>17</v>
      </c>
      <c r="B345" s="200">
        <f t="shared" si="28"/>
        <v>619.8178621019066</v>
      </c>
      <c r="C345" s="95">
        <f t="shared" si="29"/>
        <v>0.92</v>
      </c>
      <c r="D345" s="69">
        <f t="shared" si="30"/>
        <v>345.86847277887642</v>
      </c>
      <c r="E345" s="254">
        <f t="shared" si="31"/>
        <v>3.7979700524766806</v>
      </c>
      <c r="F345" s="35" t="str">
        <f t="shared" si="26"/>
        <v>A</v>
      </c>
      <c r="G345" s="193">
        <f t="shared" si="32"/>
        <v>100</v>
      </c>
    </row>
    <row r="346" spans="1:7" x14ac:dyDescent="0.25">
      <c r="A346" s="95">
        <v>18</v>
      </c>
      <c r="B346" s="200">
        <f t="shared" si="28"/>
        <v>638.4123979649637</v>
      </c>
      <c r="C346" s="95">
        <f t="shared" si="29"/>
        <v>0.92</v>
      </c>
      <c r="D346" s="69">
        <f t="shared" si="30"/>
        <v>356.24452696224267</v>
      </c>
      <c r="E346" s="254">
        <f t="shared" si="31"/>
        <v>3.9119091540509805</v>
      </c>
      <c r="F346" s="35" t="str">
        <f t="shared" si="26"/>
        <v>A</v>
      </c>
      <c r="G346" s="193">
        <f t="shared" si="32"/>
        <v>100</v>
      </c>
    </row>
    <row r="347" spans="1:7" x14ac:dyDescent="0.25">
      <c r="A347" s="95">
        <v>19</v>
      </c>
      <c r="B347" s="200">
        <f t="shared" si="28"/>
        <v>657.56476990391263</v>
      </c>
      <c r="C347" s="95">
        <f t="shared" si="29"/>
        <v>0.92</v>
      </c>
      <c r="D347" s="69">
        <f t="shared" si="30"/>
        <v>366.93186277110993</v>
      </c>
      <c r="E347" s="254">
        <f t="shared" si="31"/>
        <v>4.0292664286725097</v>
      </c>
      <c r="F347" s="35" t="str">
        <f t="shared" si="26"/>
        <v>A</v>
      </c>
      <c r="G347" s="193">
        <f t="shared" si="32"/>
        <v>100</v>
      </c>
    </row>
    <row r="348" spans="1:7" x14ac:dyDescent="0.25">
      <c r="A348" s="95">
        <v>20</v>
      </c>
      <c r="B348" s="200">
        <f t="shared" si="28"/>
        <v>677.29171300103008</v>
      </c>
      <c r="C348" s="95">
        <f t="shared" si="29"/>
        <v>0.92</v>
      </c>
      <c r="D348" s="69">
        <f t="shared" si="30"/>
        <v>377.93981865424331</v>
      </c>
      <c r="E348" s="254">
        <f t="shared" si="31"/>
        <v>4.1501444215326861</v>
      </c>
      <c r="F348" s="35" t="str">
        <f t="shared" si="26"/>
        <v>A</v>
      </c>
      <c r="G348" s="193">
        <f t="shared" si="32"/>
        <v>100</v>
      </c>
    </row>
    <row r="349" spans="1:7" x14ac:dyDescent="0.25">
      <c r="A349" s="95">
        <v>21</v>
      </c>
      <c r="B349" s="200">
        <f t="shared" si="28"/>
        <v>697.61046439106076</v>
      </c>
      <c r="C349" s="95">
        <f t="shared" si="29"/>
        <v>0.92</v>
      </c>
      <c r="D349" s="69">
        <f t="shared" si="30"/>
        <v>389.27801321387045</v>
      </c>
      <c r="E349" s="254">
        <f t="shared" si="31"/>
        <v>4.2746487541786644</v>
      </c>
      <c r="F349" s="35" t="str">
        <f t="shared" si="26"/>
        <v>A</v>
      </c>
      <c r="G349" s="193">
        <f t="shared" si="32"/>
        <v>100</v>
      </c>
    </row>
    <row r="350" spans="1:7" x14ac:dyDescent="0.25">
      <c r="A350" s="95">
        <v>22</v>
      </c>
      <c r="B350" s="200">
        <f t="shared" si="28"/>
        <v>718.53877832279261</v>
      </c>
      <c r="C350" s="95">
        <f t="shared" si="29"/>
        <v>0.93</v>
      </c>
      <c r="D350" s="69">
        <f t="shared" si="30"/>
        <v>396.6449949693158</v>
      </c>
      <c r="E350" s="254">
        <f t="shared" si="31"/>
        <v>4.355545332752369</v>
      </c>
      <c r="F350" s="35" t="str">
        <f t="shared" si="26"/>
        <v>A</v>
      </c>
      <c r="G350" s="193">
        <f t="shared" si="32"/>
        <v>100</v>
      </c>
    </row>
    <row r="351" spans="1:7" x14ac:dyDescent="0.25">
      <c r="A351" s="95">
        <v>23</v>
      </c>
      <c r="B351" s="200">
        <f t="shared" si="28"/>
        <v>740.09494167247647</v>
      </c>
      <c r="C351" s="95">
        <f t="shared" si="29"/>
        <v>0.93</v>
      </c>
      <c r="D351" s="69">
        <f t="shared" si="30"/>
        <v>408.5443448183953</v>
      </c>
      <c r="E351" s="254">
        <f t="shared" si="31"/>
        <v>4.4862116927349405</v>
      </c>
      <c r="F351" s="35" t="str">
        <f t="shared" si="26"/>
        <v>A</v>
      </c>
      <c r="G351" s="193">
        <f t="shared" si="32"/>
        <v>100</v>
      </c>
    </row>
    <row r="352" spans="1:7" x14ac:dyDescent="0.25">
      <c r="A352" s="95">
        <v>24</v>
      </c>
      <c r="B352" s="200">
        <f t="shared" si="28"/>
        <v>762.29778992265074</v>
      </c>
      <c r="C352" s="95">
        <f t="shared" si="29"/>
        <v>0.93</v>
      </c>
      <c r="D352" s="69">
        <f t="shared" si="30"/>
        <v>420.80067516294713</v>
      </c>
      <c r="E352" s="254">
        <f t="shared" si="31"/>
        <v>4.6207980435169889</v>
      </c>
      <c r="F352" s="35" t="str">
        <f t="shared" si="26"/>
        <v>A</v>
      </c>
      <c r="G352" s="193">
        <f t="shared" si="32"/>
        <v>100</v>
      </c>
    </row>
    <row r="353" spans="1:7" x14ac:dyDescent="0.25">
      <c r="A353" s="95">
        <v>25</v>
      </c>
      <c r="B353" s="200">
        <f t="shared" si="28"/>
        <v>785.16672362033023</v>
      </c>
      <c r="C353" s="95">
        <f t="shared" si="29"/>
        <v>0.93</v>
      </c>
      <c r="D353" s="69">
        <f t="shared" si="30"/>
        <v>433.42469541783555</v>
      </c>
      <c r="E353" s="254">
        <f t="shared" si="31"/>
        <v>4.7594219848224979</v>
      </c>
      <c r="F353" s="35" t="str">
        <f t="shared" si="26"/>
        <v>A</v>
      </c>
      <c r="G353" s="193">
        <f t="shared" si="32"/>
        <v>100</v>
      </c>
    </row>
    <row r="354" spans="1:7" x14ac:dyDescent="0.25">
      <c r="A354" s="95">
        <v>26</v>
      </c>
      <c r="B354" s="200">
        <f t="shared" si="28"/>
        <v>808.72172532894012</v>
      </c>
      <c r="C354" s="95">
        <f t="shared" si="29"/>
        <v>0.93</v>
      </c>
      <c r="D354" s="69">
        <f t="shared" si="30"/>
        <v>446.42743628037061</v>
      </c>
      <c r="E354" s="254">
        <f t="shared" si="31"/>
        <v>4.9022046443671732</v>
      </c>
      <c r="F354" s="35" t="str">
        <f t="shared" si="26"/>
        <v>A</v>
      </c>
      <c r="G354" s="193">
        <f t="shared" si="32"/>
        <v>100</v>
      </c>
    </row>
    <row r="355" spans="1:7" x14ac:dyDescent="0.25">
      <c r="A355" s="95">
        <v>27</v>
      </c>
      <c r="B355" s="200">
        <f t="shared" si="28"/>
        <v>832.9833770888082</v>
      </c>
      <c r="C355" s="95">
        <f t="shared" si="29"/>
        <v>0.93</v>
      </c>
      <c r="D355" s="69">
        <f t="shared" si="30"/>
        <v>459.82025936878165</v>
      </c>
      <c r="E355" s="254">
        <f t="shared" si="31"/>
        <v>5.0492707836981872</v>
      </c>
      <c r="F355" s="35" t="str">
        <f t="shared" si="26"/>
        <v>A</v>
      </c>
      <c r="G355" s="193">
        <f t="shared" si="32"/>
        <v>100</v>
      </c>
    </row>
    <row r="356" spans="1:7" x14ac:dyDescent="0.25">
      <c r="A356" s="95">
        <v>28</v>
      </c>
      <c r="B356" s="200">
        <f t="shared" si="28"/>
        <v>857.97287840147271</v>
      </c>
      <c r="C356" s="95">
        <f t="shared" si="29"/>
        <v>0.93</v>
      </c>
      <c r="D356" s="69">
        <f t="shared" si="30"/>
        <v>473.61486714984522</v>
      </c>
      <c r="E356" s="254">
        <f t="shared" si="31"/>
        <v>5.2007489072091344</v>
      </c>
      <c r="F356" s="35" t="str">
        <f t="shared" si="26"/>
        <v>A</v>
      </c>
      <c r="G356" s="193">
        <f t="shared" si="32"/>
        <v>100</v>
      </c>
    </row>
    <row r="357" spans="1:7" x14ac:dyDescent="0.25">
      <c r="A357" s="95">
        <v>29</v>
      </c>
      <c r="B357" s="200">
        <f t="shared" si="28"/>
        <v>883.71206475351664</v>
      </c>
      <c r="C357" s="95">
        <f t="shared" si="29"/>
        <v>0.93</v>
      </c>
      <c r="D357" s="69">
        <f t="shared" si="30"/>
        <v>487.82331316434045</v>
      </c>
      <c r="E357" s="254">
        <f t="shared" si="31"/>
        <v>5.3567713744254073</v>
      </c>
      <c r="F357" s="35" t="str">
        <f t="shared" si="26"/>
        <v>A</v>
      </c>
      <c r="G357" s="193">
        <f t="shared" si="32"/>
        <v>100</v>
      </c>
    </row>
    <row r="358" spans="1:7" x14ac:dyDescent="0.25">
      <c r="A358" s="95">
        <v>30</v>
      </c>
      <c r="B358" s="200">
        <f t="shared" si="28"/>
        <v>910.22342669612226</v>
      </c>
      <c r="C358" s="95">
        <f t="shared" si="29"/>
        <v>0.93</v>
      </c>
      <c r="D358" s="69">
        <f t="shared" si="30"/>
        <v>502.45801255927074</v>
      </c>
      <c r="E358" s="254">
        <f t="shared" si="31"/>
        <v>5.5174745156581704</v>
      </c>
      <c r="F358" s="35" t="str">
        <f t="shared" si="26"/>
        <v>A</v>
      </c>
      <c r="G358" s="193">
        <f>IF(F358="A",$D$278,IF(F358="B",$E$278,IF(F358="C",$F$278,IF(F358="D",$G$278,IF(F358="E",$H$278)))))</f>
        <v>100</v>
      </c>
    </row>
    <row r="359" spans="1:7" x14ac:dyDescent="0.25">
      <c r="A359" s="95">
        <v>31</v>
      </c>
      <c r="B359" s="200">
        <f>J71/12</f>
        <v>937.53012949700599</v>
      </c>
      <c r="C359" s="95">
        <f>IF(B359&lt;=100,0.83,IF(AND(B359&gt;100,B359&lt;=200),0.87,IF(AND(B359&gt;200,B359&lt;=300),0.9,IF(AND(B359&gt;300,B359&lt;=500),0.91,IF(AND(B359&gt;500,B359&lt;=700),0.92,IF(AND(B359&gt;700,B359&lt;=1000),0.93,IF(AND(B359&gt;1000,B359&lt;=1400),0.94,IF(AND(B359&gt;1400,B359&lt;=1800),0.95, IF(B359&gt;1800,0.96)))))))))</f>
        <v>0.93</v>
      </c>
      <c r="D359" s="69">
        <f>B359/(C359*$F$131*$G$219*$G$220)</f>
        <v>517.53175293604886</v>
      </c>
      <c r="E359" s="254">
        <f>D359/$E$211</f>
        <v>5.682998751127915</v>
      </c>
      <c r="F359" s="35" t="str">
        <f>IF(E359&lt;=7,"A",IF(AND(E359&gt;7,E359&lt;=11),"B",IF(AND(E359&gt;11,E359&lt;=16),"C",IF(AND(E359&gt;16,E359&lt;=22),"D",IF(AND(E359&gt;22,E359&lt;=28),"E",IF(E359&gt;28,"F"))))))</f>
        <v>A</v>
      </c>
      <c r="G359" s="193">
        <f>IF(F359="A",$D$278,IF(F359="B",$E$278,IF(F359="C",$F$278,IF(F359="D",$G$278,IF(F359="E",$H$278)))))</f>
        <v>100</v>
      </c>
    </row>
    <row r="360" spans="1:7" x14ac:dyDescent="0.25">
      <c r="A360" s="95">
        <v>32</v>
      </c>
      <c r="B360" s="200">
        <f>J72/12</f>
        <v>965.65603338191602</v>
      </c>
      <c r="C360" s="95">
        <f>IF(B360&lt;=100,0.83,IF(AND(B360&gt;100,B360&lt;=200),0.87,IF(AND(B360&gt;200,B360&lt;=300),0.9,IF(AND(B360&gt;300,B360&lt;=500),0.91,IF(AND(B360&gt;500,B360&lt;=700),0.92,IF(AND(B360&gt;700,B360&lt;=1000),0.93,IF(AND(B360&gt;1000,B360&lt;=1400),0.94,IF(AND(B360&gt;1400,B360&lt;=1800),0.95, IF(B360&gt;1800,0.96)))))))))</f>
        <v>0.93</v>
      </c>
      <c r="D360" s="69">
        <f>B360/(C360*$F$131*$G$219*$G$220)</f>
        <v>533.05770552413026</v>
      </c>
      <c r="E360" s="254">
        <f>D360/$E$211</f>
        <v>5.8534887136617515</v>
      </c>
      <c r="F360" s="35" t="str">
        <f>IF(E360&lt;=7,"A",IF(AND(E360&gt;7,E360&lt;=11),"B",IF(AND(E360&gt;11,E360&lt;=16),"C",IF(AND(E360&gt;16,E360&lt;=22),"D",IF(AND(E360&gt;22,E360&lt;=28),"E",IF(E360&gt;28,"F"))))))</f>
        <v>A</v>
      </c>
      <c r="G360" s="193">
        <f>IF(F360="A",$D$278,IF(F360="B",$E$278,IF(F360="C",$F$278,IF(F360="D",$G$278,IF(F360="E",$H$278)))))</f>
        <v>100</v>
      </c>
    </row>
    <row r="362" spans="1:7" x14ac:dyDescent="0.25">
      <c r="A362" s="211" t="s">
        <v>219</v>
      </c>
      <c r="F362" s="129"/>
      <c r="G362" s="31"/>
    </row>
    <row r="363" spans="1:7" x14ac:dyDescent="0.25">
      <c r="A363" s="125" t="s">
        <v>220</v>
      </c>
      <c r="B363" s="125" t="s">
        <v>107</v>
      </c>
      <c r="C363" s="125" t="s">
        <v>143</v>
      </c>
      <c r="D363" s="151" t="s">
        <v>217</v>
      </c>
      <c r="E363" s="151" t="s">
        <v>145</v>
      </c>
      <c r="F363" s="125" t="s">
        <v>19</v>
      </c>
      <c r="G363" s="151" t="s">
        <v>218</v>
      </c>
    </row>
    <row r="364" spans="1:7" x14ac:dyDescent="0.25">
      <c r="A364" s="95">
        <v>0</v>
      </c>
      <c r="B364" s="200">
        <f t="shared" ref="B364:B396" si="33">(J3+J40)/12</f>
        <v>750</v>
      </c>
      <c r="C364" s="95">
        <f>IF(B364&lt;=100,0.83,IF(AND(B364&gt;100,B364&lt;=200),0.87,IF(AND(B364&gt;200,B364&lt;=300),0.9,IF(AND(B364&gt;300,B364&lt;=500),0.91,IF(AND(B364&gt;500,B364&lt;=700),0.92,IF(AND(B364&gt;700,B364&lt;=1000),0.93,IF(AND(B364&gt;1000,B364&lt;=1400),0.94,IF(AND(B364&gt;1400,B364&lt;=1800),0.95, IF(B364&gt;1800,0.96)))))))))</f>
        <v>0.93</v>
      </c>
      <c r="D364" s="69">
        <f>B364/(C364*$F$135*$G$222*$G$223)</f>
        <v>828.02419354838719</v>
      </c>
      <c r="E364" s="254" t="e">
        <f>D364/$E$213</f>
        <v>#VALUE!</v>
      </c>
      <c r="F364" s="35" t="e">
        <f>IF(E364&lt;=7,"A",IF(AND(E364&gt;7,E364&lt;=11),"B",IF(AND(E364&gt;11,E364&lt;=16),"C",IF(AND(E364&gt;16,E364&lt;=22),"D",IF(AND(E364&gt;22,E364&lt;=28),"E",IF(E364&gt;28,"F"))))))</f>
        <v>#VALUE!</v>
      </c>
      <c r="G364" s="193" t="e">
        <f>IF(F364="A",$D$283,IF(F364="B",$E$283,IF(F364="C",$F$283,IF(F364="D",$G$283,IF(F364="E",$H$283)))))</f>
        <v>#VALUE!</v>
      </c>
    </row>
    <row r="365" spans="1:7" x14ac:dyDescent="0.25">
      <c r="A365" s="95">
        <v>1</v>
      </c>
      <c r="B365" s="200">
        <f t="shared" si="33"/>
        <v>772.5</v>
      </c>
      <c r="C365" s="95">
        <f t="shared" ref="C365:C394" si="34">IF(B365&lt;=100,0.83,IF(AND(B365&gt;100,B365&lt;=200),0.87,IF(AND(B365&gt;200,B365&lt;=300),0.9,IF(AND(B365&gt;300,B365&lt;=500),0.91,IF(AND(B365&gt;500,B365&lt;=700),0.92,IF(AND(B365&gt;700,B365&lt;=1000),0.93,IF(AND(B365&gt;1000,B365&lt;=1400),0.94,IF(AND(B365&gt;1400,B365&lt;=1800),0.95, IF(B365&gt;1800,0.96)))))))))</f>
        <v>0.93</v>
      </c>
      <c r="D365" s="69">
        <f t="shared" ref="D365:D394" si="35">B365/(C365*$F$135*$G$222*$G$223)</f>
        <v>852.86491935483878</v>
      </c>
      <c r="E365" s="254" t="e">
        <f t="shared" ref="E365:E394" si="36">D365/$E$213</f>
        <v>#VALUE!</v>
      </c>
      <c r="F365" s="35" t="e">
        <f t="shared" ref="F365:F394" si="37">IF(E365&lt;=7,"A",IF(AND(E365&gt;7,E365&lt;=11),"B",IF(AND(E365&gt;11,E365&lt;=16),"C",IF(AND(E365&gt;16,E365&lt;=22),"D",IF(AND(E365&gt;22,E365&lt;=28),"E",IF(E365&gt;28,"F"))))))</f>
        <v>#VALUE!</v>
      </c>
      <c r="G365" s="193" t="e">
        <f t="shared" ref="G365:G394" si="38">IF(F365="A",$D$283,IF(F365="B",$E$283,IF(F365="C",$F$283,IF(F365="D",$G$283,IF(F365="E",$H$283)))))</f>
        <v>#VALUE!</v>
      </c>
    </row>
    <row r="366" spans="1:7" x14ac:dyDescent="0.25">
      <c r="A366" s="95">
        <v>2</v>
      </c>
      <c r="B366" s="200">
        <f t="shared" si="33"/>
        <v>795.67499999999973</v>
      </c>
      <c r="C366" s="95">
        <f t="shared" si="34"/>
        <v>0.93</v>
      </c>
      <c r="D366" s="69">
        <f t="shared" si="35"/>
        <v>878.45086693548365</v>
      </c>
      <c r="E366" s="254" t="e">
        <f t="shared" si="36"/>
        <v>#VALUE!</v>
      </c>
      <c r="F366" s="35" t="e">
        <f t="shared" si="37"/>
        <v>#VALUE!</v>
      </c>
      <c r="G366" s="193" t="e">
        <f t="shared" si="38"/>
        <v>#VALUE!</v>
      </c>
    </row>
    <row r="367" spans="1:7" x14ac:dyDescent="0.25">
      <c r="A367" s="95">
        <v>3</v>
      </c>
      <c r="B367" s="200">
        <f t="shared" si="33"/>
        <v>819.54525000000001</v>
      </c>
      <c r="C367" s="95">
        <f t="shared" si="34"/>
        <v>0.93</v>
      </c>
      <c r="D367" s="69">
        <f t="shared" si="35"/>
        <v>904.80439294354846</v>
      </c>
      <c r="E367" s="254" t="e">
        <f t="shared" si="36"/>
        <v>#VALUE!</v>
      </c>
      <c r="F367" s="35" t="e">
        <f t="shared" si="37"/>
        <v>#VALUE!</v>
      </c>
      <c r="G367" s="193" t="e">
        <f t="shared" si="38"/>
        <v>#VALUE!</v>
      </c>
    </row>
    <row r="368" spans="1:7" x14ac:dyDescent="0.25">
      <c r="A368" s="95">
        <v>4</v>
      </c>
      <c r="B368" s="200">
        <f t="shared" si="33"/>
        <v>844.13160750000009</v>
      </c>
      <c r="C368" s="95">
        <f t="shared" si="34"/>
        <v>0.93</v>
      </c>
      <c r="D368" s="69">
        <f t="shared" si="35"/>
        <v>931.94852473185495</v>
      </c>
      <c r="E368" s="254" t="e">
        <f t="shared" si="36"/>
        <v>#VALUE!</v>
      </c>
      <c r="F368" s="35" t="e">
        <f t="shared" si="37"/>
        <v>#VALUE!</v>
      </c>
      <c r="G368" s="193" t="e">
        <f t="shared" si="38"/>
        <v>#VALUE!</v>
      </c>
    </row>
    <row r="369" spans="1:7" x14ac:dyDescent="0.25">
      <c r="A369" s="95">
        <v>5</v>
      </c>
      <c r="B369" s="200">
        <f t="shared" si="33"/>
        <v>869.45555572499995</v>
      </c>
      <c r="C369" s="95">
        <f t="shared" si="34"/>
        <v>0.93</v>
      </c>
      <c r="D369" s="69">
        <f t="shared" si="35"/>
        <v>959.90698047381045</v>
      </c>
      <c r="E369" s="254" t="e">
        <f t="shared" si="36"/>
        <v>#VALUE!</v>
      </c>
      <c r="F369" s="35" t="e">
        <f t="shared" si="37"/>
        <v>#VALUE!</v>
      </c>
      <c r="G369" s="193" t="e">
        <f t="shared" si="38"/>
        <v>#VALUE!</v>
      </c>
    </row>
    <row r="370" spans="1:7" x14ac:dyDescent="0.25">
      <c r="A370" s="95">
        <v>6</v>
      </c>
      <c r="B370" s="200">
        <f t="shared" si="33"/>
        <v>895.53922239674978</v>
      </c>
      <c r="C370" s="95">
        <f t="shared" si="34"/>
        <v>0.93</v>
      </c>
      <c r="D370" s="69">
        <f t="shared" si="35"/>
        <v>988.70418988802464</v>
      </c>
      <c r="E370" s="254" t="e">
        <f t="shared" si="36"/>
        <v>#VALUE!</v>
      </c>
      <c r="F370" s="35" t="e">
        <f t="shared" si="37"/>
        <v>#VALUE!</v>
      </c>
      <c r="G370" s="193" t="e">
        <f t="shared" si="38"/>
        <v>#VALUE!</v>
      </c>
    </row>
    <row r="371" spans="1:7" x14ac:dyDescent="0.25">
      <c r="A371" s="95">
        <v>7</v>
      </c>
      <c r="B371" s="200">
        <f t="shared" si="33"/>
        <v>922.40539906865251</v>
      </c>
      <c r="C371" s="95">
        <f t="shared" si="34"/>
        <v>0.93</v>
      </c>
      <c r="D371" s="69">
        <f t="shared" si="35"/>
        <v>1018.3653155846656</v>
      </c>
      <c r="E371" s="254" t="e">
        <f t="shared" si="36"/>
        <v>#VALUE!</v>
      </c>
      <c r="F371" s="35" t="e">
        <f t="shared" si="37"/>
        <v>#VALUE!</v>
      </c>
      <c r="G371" s="193" t="e">
        <f t="shared" si="38"/>
        <v>#VALUE!</v>
      </c>
    </row>
    <row r="372" spans="1:7" x14ac:dyDescent="0.25">
      <c r="A372" s="95">
        <v>8</v>
      </c>
      <c r="B372" s="200">
        <f t="shared" si="33"/>
        <v>950.07756104071211</v>
      </c>
      <c r="C372" s="95">
        <f t="shared" si="34"/>
        <v>0.93</v>
      </c>
      <c r="D372" s="69">
        <f t="shared" si="35"/>
        <v>1048.9162750522055</v>
      </c>
      <c r="E372" s="254" t="e">
        <f t="shared" si="36"/>
        <v>#VALUE!</v>
      </c>
      <c r="F372" s="35" t="e">
        <f t="shared" si="37"/>
        <v>#VALUE!</v>
      </c>
      <c r="G372" s="193" t="e">
        <f t="shared" si="38"/>
        <v>#VALUE!</v>
      </c>
    </row>
    <row r="373" spans="1:7" x14ac:dyDescent="0.25">
      <c r="A373" s="95">
        <v>9</v>
      </c>
      <c r="B373" s="200">
        <f t="shared" si="33"/>
        <v>978.57988787193335</v>
      </c>
      <c r="C373" s="95">
        <f t="shared" si="34"/>
        <v>0.93</v>
      </c>
      <c r="D373" s="69">
        <f t="shared" si="35"/>
        <v>1080.3837633037717</v>
      </c>
      <c r="E373" s="254" t="e">
        <f t="shared" si="36"/>
        <v>#VALUE!</v>
      </c>
      <c r="F373" s="35" t="e">
        <f t="shared" si="37"/>
        <v>#VALUE!</v>
      </c>
      <c r="G373" s="193" t="e">
        <f t="shared" si="38"/>
        <v>#VALUE!</v>
      </c>
    </row>
    <row r="374" spans="1:7" x14ac:dyDescent="0.25">
      <c r="A374" s="95">
        <v>10</v>
      </c>
      <c r="B374" s="200">
        <f t="shared" si="33"/>
        <v>1007.9372845080915</v>
      </c>
      <c r="C374" s="95">
        <f t="shared" si="34"/>
        <v>0.94</v>
      </c>
      <c r="D374" s="69">
        <f t="shared" si="35"/>
        <v>1100.9570285837053</v>
      </c>
      <c r="E374" s="254" t="e">
        <f t="shared" si="36"/>
        <v>#VALUE!</v>
      </c>
      <c r="F374" s="35" t="e">
        <f t="shared" si="37"/>
        <v>#VALUE!</v>
      </c>
      <c r="G374" s="193" t="e">
        <f t="shared" si="38"/>
        <v>#VALUE!</v>
      </c>
    </row>
    <row r="375" spans="1:7" x14ac:dyDescent="0.25">
      <c r="A375" s="95">
        <v>11</v>
      </c>
      <c r="B375" s="200">
        <f t="shared" si="33"/>
        <v>1038.1754030433342</v>
      </c>
      <c r="C375" s="95">
        <f t="shared" si="34"/>
        <v>0.94</v>
      </c>
      <c r="D375" s="69">
        <f t="shared" si="35"/>
        <v>1133.9857394412165</v>
      </c>
      <c r="E375" s="254" t="e">
        <f t="shared" si="36"/>
        <v>#VALUE!</v>
      </c>
      <c r="F375" s="35" t="e">
        <f t="shared" si="37"/>
        <v>#VALUE!</v>
      </c>
      <c r="G375" s="193" t="e">
        <f t="shared" si="38"/>
        <v>#VALUE!</v>
      </c>
    </row>
    <row r="376" spans="1:7" x14ac:dyDescent="0.25">
      <c r="A376" s="95">
        <v>12</v>
      </c>
      <c r="B376" s="200">
        <f t="shared" si="33"/>
        <v>1069.3206651346343</v>
      </c>
      <c r="C376" s="95">
        <f t="shared" si="34"/>
        <v>0.94</v>
      </c>
      <c r="D376" s="69">
        <f t="shared" si="35"/>
        <v>1168.005311624453</v>
      </c>
      <c r="E376" s="254" t="e">
        <f t="shared" si="36"/>
        <v>#VALUE!</v>
      </c>
      <c r="F376" s="35" t="e">
        <f t="shared" si="37"/>
        <v>#VALUE!</v>
      </c>
      <c r="G376" s="193" t="e">
        <f t="shared" si="38"/>
        <v>#VALUE!</v>
      </c>
    </row>
    <row r="377" spans="1:7" x14ac:dyDescent="0.25">
      <c r="A377" s="95">
        <v>13</v>
      </c>
      <c r="B377" s="200">
        <f t="shared" si="33"/>
        <v>1101.4002850886729</v>
      </c>
      <c r="C377" s="95">
        <f t="shared" si="34"/>
        <v>0.94</v>
      </c>
      <c r="D377" s="69">
        <f t="shared" si="35"/>
        <v>1203.0454709731864</v>
      </c>
      <c r="E377" s="254" t="e">
        <f t="shared" si="36"/>
        <v>#VALUE!</v>
      </c>
      <c r="F377" s="35" t="e">
        <f t="shared" si="37"/>
        <v>#VALUE!</v>
      </c>
      <c r="G377" s="193" t="e">
        <f t="shared" si="38"/>
        <v>#VALUE!</v>
      </c>
    </row>
    <row r="378" spans="1:7" x14ac:dyDescent="0.25">
      <c r="A378" s="95">
        <v>14</v>
      </c>
      <c r="B378" s="200">
        <f t="shared" si="33"/>
        <v>1134.4422936413332</v>
      </c>
      <c r="C378" s="95">
        <f t="shared" si="34"/>
        <v>0.94</v>
      </c>
      <c r="D378" s="69">
        <f t="shared" si="35"/>
        <v>1239.1368351023821</v>
      </c>
      <c r="E378" s="254" t="e">
        <f t="shared" si="36"/>
        <v>#VALUE!</v>
      </c>
      <c r="F378" s="35" t="e">
        <f t="shared" si="37"/>
        <v>#VALUE!</v>
      </c>
      <c r="G378" s="193" t="e">
        <f t="shared" si="38"/>
        <v>#VALUE!</v>
      </c>
    </row>
    <row r="379" spans="1:7" x14ac:dyDescent="0.25">
      <c r="A379" s="95">
        <v>15</v>
      </c>
      <c r="B379" s="200">
        <f t="shared" si="33"/>
        <v>1168.4755624505733</v>
      </c>
      <c r="C379" s="95">
        <f t="shared" si="34"/>
        <v>0.94</v>
      </c>
      <c r="D379" s="69">
        <f t="shared" si="35"/>
        <v>1276.3109401554536</v>
      </c>
      <c r="E379" s="254" t="e">
        <f t="shared" si="36"/>
        <v>#VALUE!</v>
      </c>
      <c r="F379" s="35" t="e">
        <f t="shared" si="37"/>
        <v>#VALUE!</v>
      </c>
      <c r="G379" s="193" t="e">
        <f t="shared" si="38"/>
        <v>#VALUE!</v>
      </c>
    </row>
    <row r="380" spans="1:7" x14ac:dyDescent="0.25">
      <c r="A380" s="95">
        <v>16</v>
      </c>
      <c r="B380" s="200">
        <f t="shared" si="33"/>
        <v>1203.5298293240903</v>
      </c>
      <c r="C380" s="95">
        <f t="shared" si="34"/>
        <v>0.94</v>
      </c>
      <c r="D380" s="69">
        <f t="shared" si="35"/>
        <v>1314.6002683601171</v>
      </c>
      <c r="E380" s="254" t="e">
        <f t="shared" si="36"/>
        <v>#VALUE!</v>
      </c>
      <c r="F380" s="35" t="e">
        <f t="shared" si="37"/>
        <v>#VALUE!</v>
      </c>
      <c r="G380" s="193" t="e">
        <f t="shared" si="38"/>
        <v>#VALUE!</v>
      </c>
    </row>
    <row r="381" spans="1:7" x14ac:dyDescent="0.25">
      <c r="A381" s="95">
        <v>17</v>
      </c>
      <c r="B381" s="200">
        <f t="shared" si="33"/>
        <v>1239.6357242038132</v>
      </c>
      <c r="C381" s="95">
        <f t="shared" si="34"/>
        <v>0.94</v>
      </c>
      <c r="D381" s="69">
        <f t="shared" si="35"/>
        <v>1354.0382764109206</v>
      </c>
      <c r="E381" s="254" t="e">
        <f t="shared" si="36"/>
        <v>#VALUE!</v>
      </c>
      <c r="F381" s="35" t="e">
        <f t="shared" si="37"/>
        <v>#VALUE!</v>
      </c>
      <c r="G381" s="193" t="e">
        <f t="shared" si="38"/>
        <v>#VALUE!</v>
      </c>
    </row>
    <row r="382" spans="1:7" x14ac:dyDescent="0.25">
      <c r="A382" s="95">
        <v>18</v>
      </c>
      <c r="B382" s="200">
        <f t="shared" si="33"/>
        <v>1276.8247959299274</v>
      </c>
      <c r="C382" s="95">
        <f t="shared" si="34"/>
        <v>0.94</v>
      </c>
      <c r="D382" s="69">
        <f t="shared" si="35"/>
        <v>1394.6594247032481</v>
      </c>
      <c r="E382" s="254" t="e">
        <f t="shared" si="36"/>
        <v>#VALUE!</v>
      </c>
      <c r="F382" s="35" t="e">
        <f t="shared" si="37"/>
        <v>#VALUE!</v>
      </c>
      <c r="G382" s="193" t="e">
        <f t="shared" si="38"/>
        <v>#VALUE!</v>
      </c>
    </row>
    <row r="383" spans="1:7" x14ac:dyDescent="0.25">
      <c r="A383" s="95">
        <v>19</v>
      </c>
      <c r="B383" s="200">
        <f t="shared" si="33"/>
        <v>1315.1295398078253</v>
      </c>
      <c r="C383" s="95">
        <f t="shared" si="34"/>
        <v>0.94</v>
      </c>
      <c r="D383" s="69">
        <f t="shared" si="35"/>
        <v>1436.4992074443455</v>
      </c>
      <c r="E383" s="254" t="e">
        <f t="shared" si="36"/>
        <v>#VALUE!</v>
      </c>
      <c r="F383" s="35" t="e">
        <f t="shared" si="37"/>
        <v>#VALUE!</v>
      </c>
      <c r="G383" s="193" t="e">
        <f t="shared" si="38"/>
        <v>#VALUE!</v>
      </c>
    </row>
    <row r="384" spans="1:7" x14ac:dyDescent="0.25">
      <c r="A384" s="95">
        <v>20</v>
      </c>
      <c r="B384" s="200">
        <f t="shared" si="33"/>
        <v>1354.5834260020602</v>
      </c>
      <c r="C384" s="95">
        <f t="shared" si="34"/>
        <v>0.94</v>
      </c>
      <c r="D384" s="69">
        <f t="shared" si="35"/>
        <v>1479.5941836676761</v>
      </c>
      <c r="E384" s="254" t="e">
        <f t="shared" si="36"/>
        <v>#VALUE!</v>
      </c>
      <c r="F384" s="35" t="e">
        <f t="shared" si="37"/>
        <v>#VALUE!</v>
      </c>
      <c r="G384" s="193" t="e">
        <f t="shared" si="38"/>
        <v>#VALUE!</v>
      </c>
    </row>
    <row r="385" spans="1:7" x14ac:dyDescent="0.25">
      <c r="A385" s="95">
        <v>21</v>
      </c>
      <c r="B385" s="200">
        <f t="shared" si="33"/>
        <v>1395.2209287821215</v>
      </c>
      <c r="C385" s="95">
        <f t="shared" si="34"/>
        <v>0.94</v>
      </c>
      <c r="D385" s="69">
        <f t="shared" si="35"/>
        <v>1523.9820091777058</v>
      </c>
      <c r="E385" s="254" t="e">
        <f t="shared" si="36"/>
        <v>#VALUE!</v>
      </c>
      <c r="F385" s="35" t="e">
        <f t="shared" si="37"/>
        <v>#VALUE!</v>
      </c>
      <c r="G385" s="193" t="e">
        <f t="shared" si="38"/>
        <v>#VALUE!</v>
      </c>
    </row>
    <row r="386" spans="1:7" x14ac:dyDescent="0.25">
      <c r="A386" s="95">
        <v>22</v>
      </c>
      <c r="B386" s="200">
        <f t="shared" si="33"/>
        <v>1437.0775566455852</v>
      </c>
      <c r="C386" s="95">
        <f t="shared" si="34"/>
        <v>0.95</v>
      </c>
      <c r="D386" s="69">
        <f t="shared" si="35"/>
        <v>1553.1782960903736</v>
      </c>
      <c r="E386" s="254" t="e">
        <f t="shared" si="36"/>
        <v>#VALUE!</v>
      </c>
      <c r="F386" s="35" t="e">
        <f t="shared" si="37"/>
        <v>#VALUE!</v>
      </c>
      <c r="G386" s="193" t="e">
        <f t="shared" si="38"/>
        <v>#VALUE!</v>
      </c>
    </row>
    <row r="387" spans="1:7" x14ac:dyDescent="0.25">
      <c r="A387" s="95">
        <v>23</v>
      </c>
      <c r="B387" s="200">
        <f t="shared" si="33"/>
        <v>1480.1898833449529</v>
      </c>
      <c r="C387" s="95">
        <f t="shared" si="34"/>
        <v>0.95</v>
      </c>
      <c r="D387" s="69">
        <f t="shared" si="35"/>
        <v>1599.7736449730849</v>
      </c>
      <c r="E387" s="254" t="e">
        <f t="shared" si="36"/>
        <v>#VALUE!</v>
      </c>
      <c r="F387" s="35" t="e">
        <f t="shared" si="37"/>
        <v>#VALUE!</v>
      </c>
      <c r="G387" s="193" t="e">
        <f t="shared" si="38"/>
        <v>#VALUE!</v>
      </c>
    </row>
    <row r="388" spans="1:7" x14ac:dyDescent="0.25">
      <c r="A388" s="95">
        <v>24</v>
      </c>
      <c r="B388" s="200">
        <f t="shared" si="33"/>
        <v>1524.5955798453015</v>
      </c>
      <c r="C388" s="95">
        <f t="shared" si="34"/>
        <v>0.95</v>
      </c>
      <c r="D388" s="69">
        <f t="shared" si="35"/>
        <v>1647.7668543222774</v>
      </c>
      <c r="E388" s="254" t="e">
        <f t="shared" si="36"/>
        <v>#VALUE!</v>
      </c>
      <c r="F388" s="35" t="e">
        <f t="shared" si="37"/>
        <v>#VALUE!</v>
      </c>
      <c r="G388" s="193" t="e">
        <f t="shared" si="38"/>
        <v>#VALUE!</v>
      </c>
    </row>
    <row r="389" spans="1:7" x14ac:dyDescent="0.25">
      <c r="A389" s="95">
        <v>25</v>
      </c>
      <c r="B389" s="200">
        <f t="shared" si="33"/>
        <v>1570.3334472406605</v>
      </c>
      <c r="C389" s="95">
        <f t="shared" si="34"/>
        <v>0.95</v>
      </c>
      <c r="D389" s="69">
        <f t="shared" si="35"/>
        <v>1697.1998599519457</v>
      </c>
      <c r="E389" s="254" t="e">
        <f t="shared" si="36"/>
        <v>#VALUE!</v>
      </c>
      <c r="F389" s="35" t="e">
        <f t="shared" si="37"/>
        <v>#VALUE!</v>
      </c>
      <c r="G389" s="193" t="e">
        <f t="shared" si="38"/>
        <v>#VALUE!</v>
      </c>
    </row>
    <row r="390" spans="1:7" x14ac:dyDescent="0.25">
      <c r="A390" s="95">
        <v>26</v>
      </c>
      <c r="B390" s="200">
        <f t="shared" si="33"/>
        <v>1617.4434506578802</v>
      </c>
      <c r="C390" s="95">
        <f t="shared" si="34"/>
        <v>0.95</v>
      </c>
      <c r="D390" s="69">
        <f t="shared" si="35"/>
        <v>1748.1158557505041</v>
      </c>
      <c r="E390" s="254" t="e">
        <f t="shared" si="36"/>
        <v>#VALUE!</v>
      </c>
      <c r="F390" s="35" t="e">
        <f t="shared" si="37"/>
        <v>#VALUE!</v>
      </c>
      <c r="G390" s="193" t="e">
        <f t="shared" si="38"/>
        <v>#VALUE!</v>
      </c>
    </row>
    <row r="391" spans="1:7" x14ac:dyDescent="0.25">
      <c r="A391" s="95">
        <v>27</v>
      </c>
      <c r="B391" s="200">
        <f t="shared" si="33"/>
        <v>1665.9667541776164</v>
      </c>
      <c r="C391" s="95">
        <f t="shared" si="34"/>
        <v>0.95</v>
      </c>
      <c r="D391" s="69">
        <f t="shared" si="35"/>
        <v>1800.5593314230189</v>
      </c>
      <c r="E391" s="254" t="e">
        <f t="shared" si="36"/>
        <v>#VALUE!</v>
      </c>
      <c r="F391" s="35" t="e">
        <f t="shared" si="37"/>
        <v>#VALUE!</v>
      </c>
      <c r="G391" s="193" t="e">
        <f t="shared" si="38"/>
        <v>#VALUE!</v>
      </c>
    </row>
    <row r="392" spans="1:7" x14ac:dyDescent="0.25">
      <c r="A392" s="95">
        <v>28</v>
      </c>
      <c r="B392" s="200">
        <f t="shared" si="33"/>
        <v>1715.9457568029454</v>
      </c>
      <c r="C392" s="95">
        <f t="shared" si="34"/>
        <v>0.95</v>
      </c>
      <c r="D392" s="69">
        <f t="shared" si="35"/>
        <v>1854.5761113657099</v>
      </c>
      <c r="E392" s="254" t="e">
        <f t="shared" si="36"/>
        <v>#VALUE!</v>
      </c>
      <c r="F392" s="35" t="e">
        <f t="shared" si="37"/>
        <v>#VALUE!</v>
      </c>
      <c r="G392" s="193" t="e">
        <f t="shared" si="38"/>
        <v>#VALUE!</v>
      </c>
    </row>
    <row r="393" spans="1:7" x14ac:dyDescent="0.25">
      <c r="A393" s="95">
        <v>29</v>
      </c>
      <c r="B393" s="200">
        <f t="shared" si="33"/>
        <v>1767.4241295070333</v>
      </c>
      <c r="C393" s="95">
        <f t="shared" si="34"/>
        <v>0.95</v>
      </c>
      <c r="D393" s="69">
        <f t="shared" si="35"/>
        <v>1910.2133947066809</v>
      </c>
      <c r="E393" s="254" t="e">
        <f t="shared" si="36"/>
        <v>#VALUE!</v>
      </c>
      <c r="F393" s="35" t="e">
        <f t="shared" si="37"/>
        <v>#VALUE!</v>
      </c>
      <c r="G393" s="193" t="e">
        <f t="shared" si="38"/>
        <v>#VALUE!</v>
      </c>
    </row>
    <row r="394" spans="1:7" x14ac:dyDescent="0.25">
      <c r="A394" s="95">
        <v>30</v>
      </c>
      <c r="B394" s="200">
        <f t="shared" si="33"/>
        <v>1820.4468533922445</v>
      </c>
      <c r="C394" s="95">
        <f t="shared" si="34"/>
        <v>0.96</v>
      </c>
      <c r="D394" s="69">
        <f t="shared" si="35"/>
        <v>1947.0247986671743</v>
      </c>
      <c r="E394" s="254" t="e">
        <f t="shared" si="36"/>
        <v>#VALUE!</v>
      </c>
      <c r="F394" s="35" t="e">
        <f t="shared" si="37"/>
        <v>#VALUE!</v>
      </c>
      <c r="G394" s="193" t="e">
        <f t="shared" si="38"/>
        <v>#VALUE!</v>
      </c>
    </row>
    <row r="395" spans="1:7" x14ac:dyDescent="0.25">
      <c r="A395" s="95">
        <v>31</v>
      </c>
      <c r="B395" s="200">
        <f t="shared" si="33"/>
        <v>1875.060258994012</v>
      </c>
      <c r="C395" s="95">
        <f>IF(B395&lt;=100,0.83,IF(AND(B395&gt;100,B395&lt;=200),0.87,IF(AND(B395&gt;200,B395&lt;=300),0.9,IF(AND(B395&gt;300,B395&lt;=500),0.91,IF(AND(B395&gt;500,B395&lt;=700),0.92,IF(AND(B395&gt;700,B395&lt;=1000),0.93,IF(AND(B395&gt;1000,B395&lt;=1400),0.94,IF(AND(B395&gt;1400,B395&lt;=1800),0.95, IF(B395&gt;1800,0.96)))))))))</f>
        <v>0.96</v>
      </c>
      <c r="D395" s="69">
        <f>B395/(C395*$F$135*$G$222*$G$223)</f>
        <v>2005.4355426271898</v>
      </c>
      <c r="E395" s="254" t="e">
        <f>D395/$E$213</f>
        <v>#VALUE!</v>
      </c>
      <c r="F395" s="35" t="e">
        <f>IF(E395&lt;=7,"A",IF(AND(E395&gt;7,E395&lt;=11),"B",IF(AND(E395&gt;11,E395&lt;=16),"C",IF(AND(E395&gt;16,E395&lt;=22),"D",IF(AND(E395&gt;22,E395&lt;=28),"E",IF(E395&gt;28,"F"))))))</f>
        <v>#VALUE!</v>
      </c>
      <c r="G395" s="193" t="e">
        <f>IF(F395="A",$D$283,IF(F395="B",$E$283,IF(F395="C",$F$283,IF(F395="D",$G$283,IF(F395="E",$H$283)))))</f>
        <v>#VALUE!</v>
      </c>
    </row>
    <row r="396" spans="1:7" x14ac:dyDescent="0.25">
      <c r="A396" s="95">
        <v>32</v>
      </c>
      <c r="B396" s="200">
        <f t="shared" si="33"/>
        <v>1931.312066763832</v>
      </c>
      <c r="C396" s="95">
        <f>IF(B396&lt;=100,0.83,IF(AND(B396&gt;100,B396&lt;=200),0.87,IF(AND(B396&gt;200,B396&lt;=300),0.9,IF(AND(B396&gt;300,B396&lt;=500),0.91,IF(AND(B396&gt;500,B396&lt;=700),0.92,IF(AND(B396&gt;700,B396&lt;=1000),0.93,IF(AND(B396&gt;1000,B396&lt;=1400),0.94,IF(AND(B396&gt;1400,B396&lt;=1800),0.95, IF(B396&gt;1800,0.96)))))))))</f>
        <v>0.96</v>
      </c>
      <c r="D396" s="69">
        <f>B396/(C396*$F$135*$G$222*$G$223)</f>
        <v>2065.5986089060052</v>
      </c>
      <c r="E396" s="254" t="e">
        <f>D396/$E$213</f>
        <v>#VALUE!</v>
      </c>
      <c r="F396" s="35" t="e">
        <f>IF(E396&lt;=7,"A",IF(AND(E396&gt;7,E396&lt;=11),"B",IF(AND(E396&gt;11,E396&lt;=16),"C",IF(AND(E396&gt;16,E396&lt;=22),"D",IF(AND(E396&gt;22,E396&lt;=28),"E",IF(E396&gt;28,"F"))))))</f>
        <v>#VALUE!</v>
      </c>
      <c r="G396" s="193" t="e">
        <f>IF(F396="A",$D$283,IF(F396="B",$E$283,IF(F396="C",$F$283,IF(F396="D",$G$283,IF(F396="E",$H$283)))))</f>
        <v>#VALUE!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37"/>
  <sheetViews>
    <sheetView topLeftCell="D65" zoomScale="90" zoomScaleNormal="90" workbookViewId="0">
      <selection activeCell="O136" sqref="O136"/>
    </sheetView>
  </sheetViews>
  <sheetFormatPr baseColWidth="10" defaultRowHeight="15" x14ac:dyDescent="0.25"/>
  <cols>
    <col min="1" max="1" width="13.42578125" customWidth="1"/>
    <col min="3" max="4" width="17" customWidth="1"/>
    <col min="5" max="5" width="15.85546875" customWidth="1"/>
    <col min="6" max="6" width="16.140625" customWidth="1"/>
    <col min="7" max="7" width="16.42578125" customWidth="1"/>
    <col min="8" max="8" width="17.85546875" customWidth="1"/>
    <col min="9" max="9" width="17.42578125" customWidth="1"/>
    <col min="10" max="10" width="23.7109375" customWidth="1"/>
    <col min="11" max="11" width="18.42578125" customWidth="1"/>
    <col min="12" max="12" width="16.7109375" customWidth="1"/>
    <col min="13" max="14" width="16.28515625" bestFit="1" customWidth="1"/>
    <col min="15" max="15" width="14.7109375" bestFit="1" customWidth="1"/>
    <col min="16" max="16" width="16.28515625" customWidth="1"/>
    <col min="17" max="17" width="13.42578125" customWidth="1"/>
    <col min="18" max="18" width="16.28515625" bestFit="1" customWidth="1"/>
    <col min="19" max="19" width="23.140625" customWidth="1"/>
    <col min="20" max="20" width="20.85546875" customWidth="1"/>
    <col min="21" max="21" width="16.7109375" customWidth="1"/>
    <col min="22" max="22" width="15.28515625" customWidth="1"/>
    <col min="23" max="23" width="16.7109375" customWidth="1"/>
    <col min="25" max="25" width="18.140625" customWidth="1"/>
  </cols>
  <sheetData>
    <row r="1" spans="1:15" ht="45.75" thickBot="1" x14ac:dyDescent="0.3">
      <c r="A1" s="361" t="s">
        <v>45</v>
      </c>
      <c r="B1" s="362" t="s">
        <v>18</v>
      </c>
      <c r="C1" s="363" t="s">
        <v>346</v>
      </c>
      <c r="D1" s="364" t="s">
        <v>347</v>
      </c>
      <c r="E1" s="363" t="s">
        <v>348</v>
      </c>
      <c r="F1" s="363" t="s">
        <v>349</v>
      </c>
      <c r="G1" s="363" t="s">
        <v>350</v>
      </c>
      <c r="H1" s="363" t="s">
        <v>351</v>
      </c>
      <c r="I1" s="363" t="s">
        <v>352</v>
      </c>
      <c r="J1" s="365" t="s">
        <v>353</v>
      </c>
      <c r="K1" s="366" t="s">
        <v>354</v>
      </c>
      <c r="L1" s="552" t="s">
        <v>535</v>
      </c>
      <c r="M1" s="552" t="s">
        <v>536</v>
      </c>
      <c r="N1" s="552" t="s">
        <v>537</v>
      </c>
      <c r="O1" s="552" t="s">
        <v>523</v>
      </c>
    </row>
    <row r="2" spans="1:15" x14ac:dyDescent="0.25">
      <c r="A2" s="162">
        <v>0</v>
      </c>
      <c r="B2" s="162">
        <v>2013</v>
      </c>
      <c r="C2" s="367">
        <f>'DATOS DE ENTRADA'!C22</f>
        <v>850000000</v>
      </c>
      <c r="D2" s="368">
        <v>0</v>
      </c>
      <c r="E2" s="369">
        <f t="shared" ref="E2:E32" si="0">C2*K2</f>
        <v>850000000</v>
      </c>
      <c r="F2" s="367">
        <f t="shared" ref="F2:F32" si="1">D2*K2</f>
        <v>0</v>
      </c>
      <c r="G2" s="369">
        <f>D2-C2</f>
        <v>-850000000</v>
      </c>
      <c r="H2" s="369">
        <f>F2-E2</f>
        <v>-850000000</v>
      </c>
      <c r="I2" s="369">
        <f>G2</f>
        <v>-850000000</v>
      </c>
      <c r="J2" s="370">
        <f>H2</f>
        <v>-850000000</v>
      </c>
      <c r="K2" s="95">
        <f>1/(1+$E$36)^A2</f>
        <v>1</v>
      </c>
      <c r="L2" s="95"/>
      <c r="M2" s="95"/>
      <c r="N2" s="95">
        <f t="shared" ref="N2:N32" si="2">C2*K2</f>
        <v>850000000</v>
      </c>
      <c r="O2" s="95">
        <f t="shared" ref="O2:O32" si="3">$J$204*365*K2</f>
        <v>1986193.125</v>
      </c>
    </row>
    <row r="3" spans="1:15" x14ac:dyDescent="0.25">
      <c r="A3" s="95">
        <v>1</v>
      </c>
      <c r="B3" s="95">
        <f>B2+1</f>
        <v>2014</v>
      </c>
      <c r="C3" s="367">
        <f>$F$140</f>
        <v>2520000</v>
      </c>
      <c r="D3" s="368">
        <f>'CO '!B1724+'VT '!B319</f>
        <v>160518596.85624385</v>
      </c>
      <c r="E3" s="369">
        <f t="shared" si="0"/>
        <v>2250000</v>
      </c>
      <c r="F3" s="367">
        <f>D3*K3</f>
        <v>143320175.76450342</v>
      </c>
      <c r="G3" s="371">
        <f>D3-C3</f>
        <v>157998596.85624385</v>
      </c>
      <c r="H3" s="371">
        <f>F3-E3</f>
        <v>141070175.76450342</v>
      </c>
      <c r="I3" s="371">
        <f>I2+G3</f>
        <v>-692001403.14375615</v>
      </c>
      <c r="J3" s="370">
        <f>J2+H3</f>
        <v>-708929824.23549652</v>
      </c>
      <c r="K3" s="95">
        <f>1/(1+$E$36)^A3</f>
        <v>0.89285714285714279</v>
      </c>
      <c r="L3" s="550">
        <f>'CO '!H1724+'VT '!E319</f>
        <v>115577737.42093356</v>
      </c>
      <c r="M3" s="95">
        <f t="shared" ref="M3:M32" si="4">L3*K3</f>
        <v>103194408.41154781</v>
      </c>
      <c r="N3" s="95">
        <f t="shared" si="2"/>
        <v>2250000</v>
      </c>
      <c r="O3" s="95">
        <f t="shared" si="3"/>
        <v>1773386.7187499998</v>
      </c>
    </row>
    <row r="4" spans="1:15" ht="15" customHeight="1" x14ac:dyDescent="0.25">
      <c r="A4" s="95">
        <v>2</v>
      </c>
      <c r="B4" s="95">
        <f t="shared" ref="B4:B32" si="5">B3+1</f>
        <v>2015</v>
      </c>
      <c r="C4" s="367">
        <f>$F$140</f>
        <v>2520000</v>
      </c>
      <c r="D4" s="368">
        <f>'CO '!B1725+'VT '!B320</f>
        <v>164895054.87228179</v>
      </c>
      <c r="E4" s="369">
        <f t="shared" si="0"/>
        <v>2008928.5714285714</v>
      </c>
      <c r="F4" s="367">
        <f t="shared" si="1"/>
        <v>131453328.18262258</v>
      </c>
      <c r="G4" s="371">
        <f>D4-C4</f>
        <v>162375054.87228179</v>
      </c>
      <c r="H4" s="371">
        <f>F4-E4</f>
        <v>129444399.61119401</v>
      </c>
      <c r="I4" s="371">
        <f t="shared" ref="I4:J19" si="6">I3+G4</f>
        <v>-529626348.27147436</v>
      </c>
      <c r="J4" s="370">
        <f t="shared" si="6"/>
        <v>-579485424.62430251</v>
      </c>
      <c r="K4" s="95">
        <f t="shared" ref="K4:K32" si="7">1/(1+$E$36)^A4</f>
        <v>0.79719387755102034</v>
      </c>
      <c r="L4" s="550">
        <f>'CO '!H1725+'VT '!E320</f>
        <v>118605969.65391222</v>
      </c>
      <c r="M4" s="95">
        <f t="shared" si="4"/>
        <v>94551952.849100932</v>
      </c>
      <c r="N4" s="95">
        <f t="shared" si="2"/>
        <v>2008928.5714285714</v>
      </c>
      <c r="O4" s="95">
        <f t="shared" si="3"/>
        <v>1583380.9988839284</v>
      </c>
    </row>
    <row r="5" spans="1:15" x14ac:dyDescent="0.25">
      <c r="A5" s="95">
        <v>3</v>
      </c>
      <c r="B5" s="95">
        <f t="shared" si="5"/>
        <v>2016</v>
      </c>
      <c r="C5" s="367">
        <f>$F$140</f>
        <v>2520000</v>
      </c>
      <c r="D5" s="368">
        <f>'CO '!B1726+'VT '!B321</f>
        <v>169550304.74591303</v>
      </c>
      <c r="E5" s="369">
        <f t="shared" si="0"/>
        <v>1793686.2244897955</v>
      </c>
      <c r="F5" s="367">
        <f t="shared" si="1"/>
        <v>120682557.92888531</v>
      </c>
      <c r="G5" s="371">
        <f t="shared" ref="G5:G32" si="8">D5-C5</f>
        <v>167030304.74591303</v>
      </c>
      <c r="H5" s="371">
        <f t="shared" ref="H5:H32" si="9">F5-E5</f>
        <v>118888871.70439552</v>
      </c>
      <c r="I5" s="371">
        <f t="shared" si="6"/>
        <v>-362596043.52556133</v>
      </c>
      <c r="J5" s="370">
        <f t="shared" si="6"/>
        <v>-460596552.91990697</v>
      </c>
      <c r="K5" s="95">
        <f t="shared" si="7"/>
        <v>0.71178024781341087</v>
      </c>
      <c r="L5" s="550">
        <f>'CO '!H1726+'VT '!E321</f>
        <v>121872546.9709923</v>
      </c>
      <c r="M5" s="95">
        <f t="shared" si="4"/>
        <v>86746471.684664458</v>
      </c>
      <c r="N5" s="95">
        <f t="shared" si="2"/>
        <v>1793686.2244897955</v>
      </c>
      <c r="O5" s="95">
        <f t="shared" si="3"/>
        <v>1413733.0347177929</v>
      </c>
    </row>
    <row r="6" spans="1:15" x14ac:dyDescent="0.25">
      <c r="A6" s="95">
        <v>4</v>
      </c>
      <c r="B6" s="95">
        <f t="shared" si="5"/>
        <v>2017</v>
      </c>
      <c r="C6" s="367">
        <f>F145</f>
        <v>8750000</v>
      </c>
      <c r="D6" s="368">
        <f>'CO '!B1727+'VT '!B322</f>
        <v>174142820.46085772</v>
      </c>
      <c r="E6" s="369">
        <f t="shared" si="0"/>
        <v>5560783.1860422734</v>
      </c>
      <c r="F6" s="367">
        <f t="shared" si="1"/>
        <v>110670910.62728181</v>
      </c>
      <c r="G6" s="371">
        <f t="shared" si="8"/>
        <v>165392820.46085772</v>
      </c>
      <c r="H6" s="371">
        <f t="shared" si="9"/>
        <v>105110127.44123954</v>
      </c>
      <c r="I6" s="371">
        <f t="shared" si="6"/>
        <v>-197203223.06470361</v>
      </c>
      <c r="J6" s="370">
        <f t="shared" si="6"/>
        <v>-355486425.47866744</v>
      </c>
      <c r="K6" s="95">
        <f t="shared" si="7"/>
        <v>0.63551807840483121</v>
      </c>
      <c r="L6" s="550">
        <f>'CO '!H1727+'VT '!E322</f>
        <v>125034729.95268948</v>
      </c>
      <c r="M6" s="95">
        <f t="shared" si="4"/>
        <v>79461831.313400209</v>
      </c>
      <c r="N6" s="95">
        <f t="shared" si="2"/>
        <v>5560783.1860422734</v>
      </c>
      <c r="O6" s="95">
        <f t="shared" si="3"/>
        <v>1262261.6381408868</v>
      </c>
    </row>
    <row r="7" spans="1:15" x14ac:dyDescent="0.25">
      <c r="A7" s="95">
        <v>5</v>
      </c>
      <c r="B7" s="95">
        <f t="shared" si="5"/>
        <v>2018</v>
      </c>
      <c r="C7" s="367">
        <f>$F$140</f>
        <v>2520000</v>
      </c>
      <c r="D7" s="368">
        <f>'CO '!B1728+'VT '!B323</f>
        <v>178839445.30298889</v>
      </c>
      <c r="E7" s="369">
        <f t="shared" si="0"/>
        <v>1429915.6764108699</v>
      </c>
      <c r="F7" s="367">
        <f t="shared" si="1"/>
        <v>101478304.12673339</v>
      </c>
      <c r="G7" s="371">
        <f>D7-C7</f>
        <v>176319445.30298889</v>
      </c>
      <c r="H7" s="371">
        <f t="shared" si="9"/>
        <v>100048388.45032252</v>
      </c>
      <c r="I7" s="371">
        <f t="shared" si="6"/>
        <v>-20883777.761714727</v>
      </c>
      <c r="J7" s="370">
        <f t="shared" si="6"/>
        <v>-255438037.02834493</v>
      </c>
      <c r="K7" s="95">
        <f t="shared" si="7"/>
        <v>0.56742685571859919</v>
      </c>
      <c r="L7" s="550">
        <f>'CO '!H1728+'VT '!E323</f>
        <v>128258112.07957558</v>
      </c>
      <c r="M7" s="95">
        <f t="shared" si="4"/>
        <v>72777097.257717252</v>
      </c>
      <c r="N7" s="95">
        <f t="shared" si="2"/>
        <v>1429915.6764108699</v>
      </c>
      <c r="O7" s="95">
        <f t="shared" si="3"/>
        <v>1127019.3197686486</v>
      </c>
    </row>
    <row r="8" spans="1:15" x14ac:dyDescent="0.25">
      <c r="A8" s="95">
        <v>6</v>
      </c>
      <c r="B8" s="95">
        <f t="shared" si="5"/>
        <v>2019</v>
      </c>
      <c r="C8" s="367">
        <f>$F$140</f>
        <v>2520000</v>
      </c>
      <c r="D8" s="368">
        <f>'CO '!B1729+'VT '!B324</f>
        <v>183640879.22100008</v>
      </c>
      <c r="E8" s="369">
        <f t="shared" si="0"/>
        <v>1276710.425366848</v>
      </c>
      <c r="F8" s="367">
        <f t="shared" si="1"/>
        <v>93038184.533724204</v>
      </c>
      <c r="G8" s="371">
        <f t="shared" si="8"/>
        <v>181120879.22100008</v>
      </c>
      <c r="H8" s="371">
        <f t="shared" si="9"/>
        <v>91761474.108357355</v>
      </c>
      <c r="I8" s="371">
        <f t="shared" si="6"/>
        <v>160237101.45928535</v>
      </c>
      <c r="J8" s="370">
        <f t="shared" si="6"/>
        <v>-163676562.91998756</v>
      </c>
      <c r="K8" s="95">
        <f t="shared" si="7"/>
        <v>0.50663112117732068</v>
      </c>
      <c r="L8" s="550">
        <f>'CO '!H1729+'VT '!E324</f>
        <v>131542106.00088428</v>
      </c>
      <c r="M8" s="95">
        <f t="shared" si="4"/>
        <v>66643324.645253964</v>
      </c>
      <c r="N8" s="95">
        <f t="shared" si="2"/>
        <v>1276710.425366848</v>
      </c>
      <c r="O8" s="95">
        <f t="shared" si="3"/>
        <v>1006267.2497934363</v>
      </c>
    </row>
    <row r="9" spans="1:15" x14ac:dyDescent="0.25">
      <c r="A9" s="95">
        <v>7</v>
      </c>
      <c r="B9" s="95">
        <f t="shared" si="5"/>
        <v>2020</v>
      </c>
      <c r="C9" s="367">
        <f>$F$140</f>
        <v>2520000</v>
      </c>
      <c r="D9" s="368">
        <f>'CO '!B1730+'VT '!B325</f>
        <v>188547655.20609868</v>
      </c>
      <c r="E9" s="369">
        <f t="shared" si="0"/>
        <v>1139920.0226489715</v>
      </c>
      <c r="F9" s="367">
        <f t="shared" si="1"/>
        <v>85289383.886089861</v>
      </c>
      <c r="G9" s="371">
        <f t="shared" si="8"/>
        <v>186027655.20609868</v>
      </c>
      <c r="H9" s="371">
        <f t="shared" si="9"/>
        <v>84149463.863440886</v>
      </c>
      <c r="I9" s="371">
        <f t="shared" si="6"/>
        <v>346264756.66538405</v>
      </c>
      <c r="J9" s="370">
        <f t="shared" si="6"/>
        <v>-79527099.056546673</v>
      </c>
      <c r="K9" s="95">
        <f t="shared" si="7"/>
        <v>0.45234921533689343</v>
      </c>
      <c r="L9" s="550">
        <f>'CO '!H1730+'VT '!E325</f>
        <v>134885918.78937948</v>
      </c>
      <c r="M9" s="95">
        <f t="shared" si="4"/>
        <v>61015539.524371736</v>
      </c>
      <c r="N9" s="95">
        <f t="shared" si="2"/>
        <v>1139920.0226489715</v>
      </c>
      <c r="O9" s="95">
        <f t="shared" si="3"/>
        <v>898452.9016012823</v>
      </c>
    </row>
    <row r="10" spans="1:15" x14ac:dyDescent="0.25">
      <c r="A10" s="95">
        <v>8</v>
      </c>
      <c r="B10" s="95">
        <f t="shared" si="5"/>
        <v>2021</v>
      </c>
      <c r="C10" s="367">
        <f>F145+F150</f>
        <v>43750000</v>
      </c>
      <c r="D10" s="368">
        <f>'CO '!B1731+'VT '!B326</f>
        <v>191880793.55601016</v>
      </c>
      <c r="E10" s="369">
        <f t="shared" si="0"/>
        <v>17669891.224097397</v>
      </c>
      <c r="F10" s="367">
        <f t="shared" si="1"/>
        <v>77497434.288644314</v>
      </c>
      <c r="G10" s="371">
        <f t="shared" si="8"/>
        <v>148130793.55601016</v>
      </c>
      <c r="H10" s="371">
        <f t="shared" si="9"/>
        <v>59827543.064546913</v>
      </c>
      <c r="I10" s="371">
        <f t="shared" si="6"/>
        <v>494395550.22139418</v>
      </c>
      <c r="J10" s="370">
        <f t="shared" si="6"/>
        <v>-19699555.99199976</v>
      </c>
      <c r="K10" s="95">
        <f t="shared" si="7"/>
        <v>0.4038832279793691</v>
      </c>
      <c r="L10" s="550">
        <f>'CO '!H1731+'VT '!E326</f>
        <v>138288529.74001664</v>
      </c>
      <c r="M10" s="95">
        <f t="shared" si="4"/>
        <v>55852417.783918902</v>
      </c>
      <c r="N10" s="95">
        <f t="shared" si="2"/>
        <v>17669891.224097397</v>
      </c>
      <c r="O10" s="95">
        <f t="shared" si="3"/>
        <v>802190.09071543056</v>
      </c>
    </row>
    <row r="11" spans="1:15" x14ac:dyDescent="0.25">
      <c r="A11" s="95">
        <v>9</v>
      </c>
      <c r="B11" s="95">
        <f t="shared" si="5"/>
        <v>2022</v>
      </c>
      <c r="C11" s="367">
        <f>$F$140</f>
        <v>2520000</v>
      </c>
      <c r="D11" s="368">
        <f>'CO '!B1732+'VT '!B327</f>
        <v>196948697.70353335</v>
      </c>
      <c r="E11" s="369">
        <f t="shared" si="0"/>
        <v>908737.26295358047</v>
      </c>
      <c r="F11" s="367">
        <f t="shared" si="1"/>
        <v>71021674.79896073</v>
      </c>
      <c r="G11" s="371">
        <f t="shared" si="8"/>
        <v>194428697.70353335</v>
      </c>
      <c r="H11" s="371">
        <f t="shared" si="9"/>
        <v>70112937.536007151</v>
      </c>
      <c r="I11" s="371">
        <f t="shared" si="6"/>
        <v>688824247.92492747</v>
      </c>
      <c r="J11" s="370">
        <f t="shared" si="6"/>
        <v>50413381.544007391</v>
      </c>
      <c r="K11" s="95">
        <f t="shared" si="7"/>
        <v>0.36061002498157957</v>
      </c>
      <c r="L11" s="550">
        <f>'CO '!H1732+'VT '!E327</f>
        <v>141748665.97305989</v>
      </c>
      <c r="M11" s="95">
        <f t="shared" si="4"/>
        <v>51115989.977650702</v>
      </c>
      <c r="N11" s="95">
        <f t="shared" si="2"/>
        <v>908737.26295358047</v>
      </c>
      <c r="O11" s="95">
        <f t="shared" si="3"/>
        <v>716241.15242449159</v>
      </c>
    </row>
    <row r="12" spans="1:15" x14ac:dyDescent="0.25">
      <c r="A12" s="95">
        <v>10</v>
      </c>
      <c r="B12" s="95">
        <f t="shared" si="5"/>
        <v>2023</v>
      </c>
      <c r="C12" s="367">
        <f>$F$140</f>
        <v>2520000</v>
      </c>
      <c r="D12" s="368">
        <f>'CO '!B1733+'VT '!B328</f>
        <v>202120808.29358405</v>
      </c>
      <c r="E12" s="369">
        <f t="shared" si="0"/>
        <v>811372.55620855384</v>
      </c>
      <c r="F12" s="367">
        <f t="shared" si="1"/>
        <v>65077490.828612842</v>
      </c>
      <c r="G12" s="371">
        <f t="shared" si="8"/>
        <v>199600808.29358405</v>
      </c>
      <c r="H12" s="371">
        <f t="shared" si="9"/>
        <v>64266118.272404291</v>
      </c>
      <c r="I12" s="371">
        <f t="shared" si="6"/>
        <v>888425056.21851158</v>
      </c>
      <c r="J12" s="370">
        <f t="shared" si="6"/>
        <v>114679499.81641167</v>
      </c>
      <c r="K12" s="95">
        <f t="shared" si="7"/>
        <v>0.32197323659069599</v>
      </c>
      <c r="L12" s="550">
        <f>'CO '!H1733+'VT '!E328</f>
        <v>145264775.61119667</v>
      </c>
      <c r="M12" s="95">
        <f t="shared" si="4"/>
        <v>46771369.966158189</v>
      </c>
      <c r="N12" s="95">
        <f t="shared" si="2"/>
        <v>811372.55620855384</v>
      </c>
      <c r="O12" s="95">
        <f t="shared" si="3"/>
        <v>639501.02895043883</v>
      </c>
    </row>
    <row r="13" spans="1:15" x14ac:dyDescent="0.25">
      <c r="A13" s="95">
        <v>11</v>
      </c>
      <c r="B13" s="95">
        <f t="shared" si="5"/>
        <v>2024</v>
      </c>
      <c r="C13" s="367">
        <f>$F$140</f>
        <v>2520000</v>
      </c>
      <c r="D13" s="368">
        <f>'CO '!B1734+'VT '!B329</f>
        <v>207396711.93613824</v>
      </c>
      <c r="E13" s="369">
        <f t="shared" si="0"/>
        <v>724439.78232906584</v>
      </c>
      <c r="F13" s="367">
        <f t="shared" si="1"/>
        <v>59621598.750309512</v>
      </c>
      <c r="G13" s="371">
        <f t="shared" si="8"/>
        <v>204876711.93613824</v>
      </c>
      <c r="H13" s="371">
        <f t="shared" si="9"/>
        <v>58897158.967980444</v>
      </c>
      <c r="I13" s="371">
        <f t="shared" si="6"/>
        <v>1093301768.1546497</v>
      </c>
      <c r="J13" s="370">
        <f t="shared" si="6"/>
        <v>173576658.78439212</v>
      </c>
      <c r="K13" s="95">
        <f t="shared" si="7"/>
        <v>0.28747610409883567</v>
      </c>
      <c r="L13" s="550">
        <f>'CO '!H1734+'VT '!E329</f>
        <v>148834998.27327901</v>
      </c>
      <c r="M13" s="95">
        <f t="shared" si="4"/>
        <v>42786505.457159184</v>
      </c>
      <c r="N13" s="95">
        <f t="shared" si="2"/>
        <v>724439.78232906584</v>
      </c>
      <c r="O13" s="95">
        <f t="shared" si="3"/>
        <v>570983.0615628917</v>
      </c>
    </row>
    <row r="14" spans="1:15" x14ac:dyDescent="0.25">
      <c r="A14" s="95">
        <v>12</v>
      </c>
      <c r="B14" s="95">
        <f t="shared" si="5"/>
        <v>2025</v>
      </c>
      <c r="C14" s="367">
        <f>F145</f>
        <v>8750000</v>
      </c>
      <c r="D14" s="368">
        <f>'CO '!B1735+'VT '!B330</f>
        <v>421541223.59909022</v>
      </c>
      <c r="E14" s="369">
        <f t="shared" si="0"/>
        <v>2245907.063272154</v>
      </c>
      <c r="F14" s="367">
        <f t="shared" si="1"/>
        <v>108199132.74760951</v>
      </c>
      <c r="G14" s="371">
        <f t="shared" si="8"/>
        <v>412791223.59909022</v>
      </c>
      <c r="H14" s="371">
        <f t="shared" si="9"/>
        <v>105953225.68433736</v>
      </c>
      <c r="I14" s="371">
        <f t="shared" si="6"/>
        <v>1506092991.7537398</v>
      </c>
      <c r="J14" s="370">
        <f t="shared" si="6"/>
        <v>279529884.4687295</v>
      </c>
      <c r="K14" s="95">
        <f t="shared" si="7"/>
        <v>0.25667509294538904</v>
      </c>
      <c r="L14" s="550">
        <f>'CO '!H1735+'VT '!E330</f>
        <v>206341654.66400003</v>
      </c>
      <c r="M14" s="95">
        <f t="shared" si="4"/>
        <v>52962763.389387578</v>
      </c>
      <c r="N14" s="95">
        <f t="shared" si="2"/>
        <v>2245907.063272154</v>
      </c>
      <c r="O14" s="95">
        <f t="shared" si="3"/>
        <v>509806.30496686773</v>
      </c>
    </row>
    <row r="15" spans="1:15" x14ac:dyDescent="0.25">
      <c r="A15" s="95">
        <v>13</v>
      </c>
      <c r="B15" s="95">
        <f t="shared" si="5"/>
        <v>2026</v>
      </c>
      <c r="C15" s="367">
        <f>$F$140</f>
        <v>2520000</v>
      </c>
      <c r="D15" s="368">
        <f>'CO '!B1736+'VT '!B331</f>
        <v>433285214.1995548</v>
      </c>
      <c r="E15" s="369">
        <f t="shared" si="0"/>
        <v>577518.95912712521</v>
      </c>
      <c r="F15" s="367">
        <f t="shared" si="1"/>
        <v>99297788.05940491</v>
      </c>
      <c r="G15" s="371">
        <f t="shared" si="8"/>
        <v>430765214.1995548</v>
      </c>
      <c r="H15" s="371">
        <f t="shared" si="9"/>
        <v>98720269.100277781</v>
      </c>
      <c r="I15" s="371">
        <f t="shared" si="6"/>
        <v>1936858205.9532948</v>
      </c>
      <c r="J15" s="370">
        <f t="shared" si="6"/>
        <v>378250153.56900728</v>
      </c>
      <c r="K15" s="95">
        <f t="shared" si="7"/>
        <v>0.22917419012981158</v>
      </c>
      <c r="L15" s="550">
        <f>'CO '!H1736+'VT '!E331</f>
        <v>211629658.19641194</v>
      </c>
      <c r="M15" s="95">
        <f t="shared" si="4"/>
        <v>48500055.524611548</v>
      </c>
      <c r="N15" s="95">
        <f t="shared" si="2"/>
        <v>577518.95912712521</v>
      </c>
      <c r="O15" s="95">
        <f t="shared" si="3"/>
        <v>455184.20086327463</v>
      </c>
    </row>
    <row r="16" spans="1:15" x14ac:dyDescent="0.25">
      <c r="A16" s="95">
        <v>14</v>
      </c>
      <c r="B16" s="95">
        <f t="shared" si="5"/>
        <v>2027</v>
      </c>
      <c r="C16" s="367">
        <f>$F$140</f>
        <v>2520000</v>
      </c>
      <c r="D16" s="368">
        <f>'CO '!B1737+'VT '!B332</f>
        <v>376697089.63516462</v>
      </c>
      <c r="E16" s="369">
        <f t="shared" si="0"/>
        <v>515641.92779207602</v>
      </c>
      <c r="F16" s="367">
        <f t="shared" si="1"/>
        <v>77079687.894103467</v>
      </c>
      <c r="G16" s="371">
        <f t="shared" si="8"/>
        <v>374177089.63516462</v>
      </c>
      <c r="H16" s="371">
        <f t="shared" si="9"/>
        <v>76564045.966311395</v>
      </c>
      <c r="I16" s="371">
        <f t="shared" si="6"/>
        <v>2311035295.5884595</v>
      </c>
      <c r="J16" s="370">
        <f t="shared" si="6"/>
        <v>454814199.53531867</v>
      </c>
      <c r="K16" s="95">
        <f t="shared" si="7"/>
        <v>0.20461981261590317</v>
      </c>
      <c r="L16" s="550">
        <f>'CO '!H1737+'VT '!E332</f>
        <v>217012497.05251837</v>
      </c>
      <c r="M16" s="95">
        <f t="shared" si="4"/>
        <v>44405056.482195549</v>
      </c>
      <c r="N16" s="95">
        <f t="shared" si="2"/>
        <v>515641.92779207602</v>
      </c>
      <c r="O16" s="95">
        <f t="shared" si="3"/>
        <v>406414.46505649516</v>
      </c>
    </row>
    <row r="17" spans="1:15" x14ac:dyDescent="0.25">
      <c r="A17" s="95">
        <v>15</v>
      </c>
      <c r="B17" s="95">
        <f t="shared" si="5"/>
        <v>2028</v>
      </c>
      <c r="C17" s="367">
        <f>$F$140</f>
        <v>2520000</v>
      </c>
      <c r="D17" s="368">
        <f>'CO '!B1738+'VT '!B333</f>
        <v>386963302.5161916</v>
      </c>
      <c r="E17" s="369">
        <f t="shared" si="0"/>
        <v>460394.57838578214</v>
      </c>
      <c r="F17" s="367">
        <f t="shared" si="1"/>
        <v>70696748.61615552</v>
      </c>
      <c r="G17" s="371">
        <f t="shared" si="8"/>
        <v>384443302.5161916</v>
      </c>
      <c r="H17" s="371">
        <f t="shared" si="9"/>
        <v>70236354.037769735</v>
      </c>
      <c r="I17" s="371">
        <f t="shared" si="6"/>
        <v>2695478598.104651</v>
      </c>
      <c r="J17" s="370">
        <f t="shared" si="6"/>
        <v>525050553.57308841</v>
      </c>
      <c r="K17" s="95">
        <f t="shared" si="7"/>
        <v>0.18269626126419927</v>
      </c>
      <c r="L17" s="550">
        <f>'CO '!H1738+'VT '!E333</f>
        <v>222488172.15606615</v>
      </c>
      <c r="M17" s="95">
        <f t="shared" si="4"/>
        <v>40647757.228418805</v>
      </c>
      <c r="N17" s="95">
        <f t="shared" si="2"/>
        <v>460394.57838578214</v>
      </c>
      <c r="O17" s="95">
        <f t="shared" si="3"/>
        <v>362870.05808615638</v>
      </c>
    </row>
    <row r="18" spans="1:15" x14ac:dyDescent="0.25">
      <c r="A18" s="95">
        <v>16</v>
      </c>
      <c r="B18" s="95">
        <f t="shared" si="5"/>
        <v>2029</v>
      </c>
      <c r="C18" s="367">
        <f>F145+F150+F154</f>
        <v>176750000</v>
      </c>
      <c r="D18" s="368">
        <f>'CO '!B1739+'VT '!B334</f>
        <v>397878622.34165764</v>
      </c>
      <c r="E18" s="369">
        <f t="shared" si="0"/>
        <v>28831753.730756443</v>
      </c>
      <c r="F18" s="367">
        <f t="shared" si="1"/>
        <v>64902622.088188522</v>
      </c>
      <c r="G18" s="371">
        <f t="shared" si="8"/>
        <v>221128622.34165764</v>
      </c>
      <c r="H18" s="371">
        <f t="shared" si="9"/>
        <v>36070868.357432082</v>
      </c>
      <c r="I18" s="371">
        <f t="shared" si="6"/>
        <v>2916607220.4463086</v>
      </c>
      <c r="J18" s="370">
        <f t="shared" si="6"/>
        <v>561121421.93052053</v>
      </c>
      <c r="K18" s="95">
        <f t="shared" si="7"/>
        <v>0.16312166184303503</v>
      </c>
      <c r="L18" s="550">
        <f>'CO '!H1739+'VT '!E334</f>
        <v>228469238.07072821</v>
      </c>
      <c r="M18" s="95">
        <f t="shared" si="4"/>
        <v>37268281.794109195</v>
      </c>
      <c r="N18" s="95">
        <f t="shared" si="2"/>
        <v>28831753.730756443</v>
      </c>
      <c r="O18" s="95">
        <f t="shared" si="3"/>
        <v>323991.12329121103</v>
      </c>
    </row>
    <row r="19" spans="1:15" x14ac:dyDescent="0.25">
      <c r="A19" s="95">
        <v>17</v>
      </c>
      <c r="B19" s="95">
        <f t="shared" si="5"/>
        <v>2030</v>
      </c>
      <c r="C19" s="367">
        <f>$F$140</f>
        <v>2520000</v>
      </c>
      <c r="D19" s="368">
        <f>'CO '!B1740+'VT '!B335</f>
        <v>408644190.16112113</v>
      </c>
      <c r="E19" s="369">
        <f t="shared" si="0"/>
        <v>367023.73914682883</v>
      </c>
      <c r="F19" s="367">
        <f t="shared" si="1"/>
        <v>59516713.751413666</v>
      </c>
      <c r="G19" s="371">
        <f t="shared" si="8"/>
        <v>406124190.16112113</v>
      </c>
      <c r="H19" s="371">
        <f t="shared" si="9"/>
        <v>59149690.012266837</v>
      </c>
      <c r="I19" s="371">
        <f t="shared" si="6"/>
        <v>3322731410.6074295</v>
      </c>
      <c r="J19" s="371">
        <f t="shared" si="6"/>
        <v>620271111.94278741</v>
      </c>
      <c r="K19" s="95">
        <f t="shared" si="7"/>
        <v>0.14564434093128129</v>
      </c>
      <c r="L19" s="550">
        <f>'CO '!H1740+'VT '!E335</f>
        <v>234152524.36206415</v>
      </c>
      <c r="M19" s="95">
        <f t="shared" si="4"/>
        <v>34102990.088108622</v>
      </c>
      <c r="N19" s="95">
        <f t="shared" si="2"/>
        <v>367023.73914682883</v>
      </c>
      <c r="O19" s="95">
        <f t="shared" si="3"/>
        <v>289277.78865286696</v>
      </c>
    </row>
    <row r="20" spans="1:15" x14ac:dyDescent="0.25">
      <c r="A20" s="95">
        <v>18</v>
      </c>
      <c r="B20" s="95">
        <f t="shared" si="5"/>
        <v>2031</v>
      </c>
      <c r="C20" s="367">
        <f>$F$140</f>
        <v>2520000</v>
      </c>
      <c r="D20" s="368">
        <f>'CO '!B1741+'VT '!B336</f>
        <v>419648389.29850841</v>
      </c>
      <c r="E20" s="369">
        <f t="shared" si="0"/>
        <v>327699.76709538285</v>
      </c>
      <c r="F20" s="367">
        <f t="shared" si="1"/>
        <v>54570904.537727684</v>
      </c>
      <c r="G20" s="371">
        <f>D20-C20</f>
        <v>417128389.29850841</v>
      </c>
      <c r="H20" s="371">
        <f t="shared" si="9"/>
        <v>54243204.770632304</v>
      </c>
      <c r="I20" s="371">
        <f t="shared" ref="I20:J32" si="10">I19+G20</f>
        <v>3739859799.9059381</v>
      </c>
      <c r="J20" s="371">
        <f t="shared" si="10"/>
        <v>674514316.71341968</v>
      </c>
      <c r="K20" s="95">
        <f t="shared" si="7"/>
        <v>0.13003959011721541</v>
      </c>
      <c r="L20" s="550">
        <f>'CO '!H1741+'VT '!E336</f>
        <v>239921973.5254795</v>
      </c>
      <c r="M20" s="95">
        <f t="shared" si="4"/>
        <v>31199355.097366761</v>
      </c>
      <c r="N20" s="95">
        <f t="shared" si="2"/>
        <v>327699.76709538285</v>
      </c>
      <c r="O20" s="95">
        <f t="shared" si="3"/>
        <v>258283.73986863121</v>
      </c>
    </row>
    <row r="21" spans="1:15" x14ac:dyDescent="0.25">
      <c r="A21" s="95">
        <v>19</v>
      </c>
      <c r="B21" s="95">
        <f t="shared" si="5"/>
        <v>2032</v>
      </c>
      <c r="C21" s="367">
        <f>$F$140</f>
        <v>2520000</v>
      </c>
      <c r="D21" s="368">
        <f>'CO '!B1742+'VT '!B337</f>
        <v>428491011.35908353</v>
      </c>
      <c r="E21" s="369">
        <f t="shared" si="0"/>
        <v>292589.07776373468</v>
      </c>
      <c r="F21" s="367">
        <f t="shared" si="1"/>
        <v>49750710.255398497</v>
      </c>
      <c r="G21" s="371">
        <f t="shared" si="8"/>
        <v>425971011.35908353</v>
      </c>
      <c r="H21" s="371">
        <f t="shared" si="9"/>
        <v>49458121.177634761</v>
      </c>
      <c r="I21" s="371">
        <f t="shared" si="10"/>
        <v>4165830811.2650218</v>
      </c>
      <c r="J21" s="371">
        <f t="shared" si="10"/>
        <v>723972437.89105439</v>
      </c>
      <c r="K21" s="95">
        <f t="shared" si="7"/>
        <v>0.1161067768903709</v>
      </c>
      <c r="L21" s="550">
        <f>'CO '!H1742+'VT '!E337</f>
        <v>245773596.90924841</v>
      </c>
      <c r="M21" s="95">
        <f t="shared" si="4"/>
        <v>28535980.181886055</v>
      </c>
      <c r="N21" s="95">
        <f t="shared" si="2"/>
        <v>292589.07776373468</v>
      </c>
      <c r="O21" s="95">
        <f t="shared" si="3"/>
        <v>230610.48202556354</v>
      </c>
    </row>
    <row r="22" spans="1:15" x14ac:dyDescent="0.25">
      <c r="A22" s="95">
        <v>20</v>
      </c>
      <c r="B22" s="95">
        <f t="shared" si="5"/>
        <v>2033</v>
      </c>
      <c r="C22" s="367">
        <f>F145</f>
        <v>8750000</v>
      </c>
      <c r="D22" s="368">
        <f>'CO '!B1743+'VT '!B338</f>
        <v>439901655.10845494</v>
      </c>
      <c r="E22" s="369">
        <f t="shared" si="0"/>
        <v>907084.19445602258</v>
      </c>
      <c r="F22" s="367">
        <f t="shared" si="1"/>
        <v>45603181.53873416</v>
      </c>
      <c r="G22" s="371">
        <f t="shared" si="8"/>
        <v>431151655.10845494</v>
      </c>
      <c r="H22" s="371">
        <f t="shared" si="9"/>
        <v>44696097.344278134</v>
      </c>
      <c r="I22" s="371">
        <f t="shared" si="10"/>
        <v>4596982466.373477</v>
      </c>
      <c r="J22" s="371">
        <f t="shared" si="10"/>
        <v>768668535.23533249</v>
      </c>
      <c r="K22" s="95">
        <f t="shared" si="7"/>
        <v>0.1036667650806883</v>
      </c>
      <c r="L22" s="550">
        <f>'CO '!H1743+'VT '!E338</f>
        <v>251702718.22512504</v>
      </c>
      <c r="M22" s="95">
        <f t="shared" si="4"/>
        <v>26093206.56041472</v>
      </c>
      <c r="N22" s="95">
        <f t="shared" si="2"/>
        <v>907084.19445602258</v>
      </c>
      <c r="O22" s="95">
        <f t="shared" si="3"/>
        <v>205902.21609425318</v>
      </c>
    </row>
    <row r="23" spans="1:15" x14ac:dyDescent="0.25">
      <c r="A23" s="95">
        <v>21</v>
      </c>
      <c r="B23" s="95">
        <f t="shared" si="5"/>
        <v>2034</v>
      </c>
      <c r="C23" s="367">
        <f>$F$140</f>
        <v>2520000</v>
      </c>
      <c r="D23" s="368">
        <f>'CO '!B1744+'VT '!B339</f>
        <v>451548802.38249445</v>
      </c>
      <c r="E23" s="369">
        <f t="shared" si="0"/>
        <v>233250.22143154865</v>
      </c>
      <c r="F23" s="367">
        <f t="shared" si="1"/>
        <v>41795181.802725174</v>
      </c>
      <c r="G23" s="371">
        <f t="shared" si="8"/>
        <v>449028802.38249445</v>
      </c>
      <c r="H23" s="371">
        <f t="shared" si="9"/>
        <v>41561931.581293628</v>
      </c>
      <c r="I23" s="371">
        <f t="shared" si="10"/>
        <v>5046011268.7559719</v>
      </c>
      <c r="J23" s="371">
        <f t="shared" si="10"/>
        <v>810230466.81662607</v>
      </c>
      <c r="K23" s="95">
        <f t="shared" si="7"/>
        <v>9.2559611679185971E-2</v>
      </c>
      <c r="L23" s="550">
        <f>'CO '!H1744+'VT '!E339</f>
        <v>257703897.39266446</v>
      </c>
      <c r="M23" s="95">
        <f t="shared" si="4"/>
        <v>23852972.670877811</v>
      </c>
      <c r="N23" s="95">
        <f t="shared" si="2"/>
        <v>233250.22143154865</v>
      </c>
      <c r="O23" s="95">
        <f t="shared" si="3"/>
        <v>183841.26436986888</v>
      </c>
    </row>
    <row r="24" spans="1:15" x14ac:dyDescent="0.25">
      <c r="A24" s="95">
        <v>22</v>
      </c>
      <c r="B24" s="95">
        <f t="shared" si="5"/>
        <v>2035</v>
      </c>
      <c r="C24" s="367">
        <f>$F$140</f>
        <v>2520000</v>
      </c>
      <c r="D24" s="368">
        <f>'CO '!B1745+'VT '!B340</f>
        <v>463431098.02400529</v>
      </c>
      <c r="E24" s="369">
        <f t="shared" si="0"/>
        <v>208259.12627816841</v>
      </c>
      <c r="F24" s="367">
        <f t="shared" si="1"/>
        <v>38299109.351036333</v>
      </c>
      <c r="G24" s="371">
        <f t="shared" si="8"/>
        <v>460911098.02400529</v>
      </c>
      <c r="H24" s="371">
        <f t="shared" si="9"/>
        <v>38090850.224758163</v>
      </c>
      <c r="I24" s="371">
        <f t="shared" si="10"/>
        <v>5506922366.7799768</v>
      </c>
      <c r="J24" s="371">
        <f t="shared" si="10"/>
        <v>848321317.04138422</v>
      </c>
      <c r="K24" s="95">
        <f t="shared" si="7"/>
        <v>8.2642510427844609E-2</v>
      </c>
      <c r="L24" s="550">
        <f>'CO '!H1745+'VT '!E340</f>
        <v>263770845.88448036</v>
      </c>
      <c r="M24" s="95">
        <f t="shared" si="4"/>
        <v>21798684.881569561</v>
      </c>
      <c r="N24" s="95">
        <f t="shared" si="2"/>
        <v>208259.12627816841</v>
      </c>
      <c r="O24" s="95">
        <f t="shared" si="3"/>
        <v>164143.98604452578</v>
      </c>
    </row>
    <row r="25" spans="1:15" x14ac:dyDescent="0.25">
      <c r="A25" s="95">
        <v>23</v>
      </c>
      <c r="B25" s="95">
        <f t="shared" si="5"/>
        <v>2036</v>
      </c>
      <c r="C25" s="367">
        <f>$F$140</f>
        <v>2520000</v>
      </c>
      <c r="D25" s="368">
        <f>'CO '!B1746+'VT '!B341</f>
        <v>475546392.22356641</v>
      </c>
      <c r="E25" s="369">
        <f t="shared" si="0"/>
        <v>185945.6484626504</v>
      </c>
      <c r="F25" s="367">
        <f t="shared" si="1"/>
        <v>35089596.141303547</v>
      </c>
      <c r="G25" s="371">
        <f t="shared" si="8"/>
        <v>473026392.22356641</v>
      </c>
      <c r="H25" s="371">
        <f t="shared" si="9"/>
        <v>34903650.492840894</v>
      </c>
      <c r="I25" s="371">
        <f t="shared" si="10"/>
        <v>5979948759.0035429</v>
      </c>
      <c r="J25" s="371">
        <f t="shared" si="10"/>
        <v>883224967.53422511</v>
      </c>
      <c r="K25" s="95">
        <f t="shared" si="7"/>
        <v>7.3787955739146982E-2</v>
      </c>
      <c r="L25" s="550">
        <f>'CO '!H1746+'VT '!E341</f>
        <v>269896332.51985574</v>
      </c>
      <c r="M25" s="95">
        <f t="shared" si="4"/>
        <v>19915098.638133213</v>
      </c>
      <c r="N25" s="95">
        <f t="shared" si="2"/>
        <v>185945.6484626504</v>
      </c>
      <c r="O25" s="95">
        <f t="shared" si="3"/>
        <v>146557.13039689802</v>
      </c>
    </row>
    <row r="26" spans="1:15" x14ac:dyDescent="0.25">
      <c r="A26" s="95">
        <v>24</v>
      </c>
      <c r="B26" s="95">
        <f t="shared" si="5"/>
        <v>2037</v>
      </c>
      <c r="C26" s="367">
        <f>F145+F150</f>
        <v>43750000</v>
      </c>
      <c r="D26" s="368">
        <f>'CO '!B1747+'VT '!B342</f>
        <v>487891640.00054669</v>
      </c>
      <c r="E26" s="369">
        <f t="shared" si="0"/>
        <v>2882342.0210604286</v>
      </c>
      <c r="F26" s="367">
        <f t="shared" si="1"/>
        <v>32143327.444518007</v>
      </c>
      <c r="G26" s="371">
        <f t="shared" si="8"/>
        <v>444141640.00054669</v>
      </c>
      <c r="H26" s="371">
        <f t="shared" si="9"/>
        <v>29260985.423457578</v>
      </c>
      <c r="I26" s="371">
        <f t="shared" si="10"/>
        <v>6424090399.0040894</v>
      </c>
      <c r="J26" s="371">
        <f t="shared" si="10"/>
        <v>912485952.95768273</v>
      </c>
      <c r="K26" s="95">
        <f t="shared" si="7"/>
        <v>6.5882103338524081E-2</v>
      </c>
      <c r="L26" s="550">
        <f>'CO '!H1747+'VT '!E342</f>
        <v>276072078.50572491</v>
      </c>
      <c r="M26" s="95">
        <f t="shared" si="4"/>
        <v>18188209.204995301</v>
      </c>
      <c r="N26" s="95">
        <f t="shared" si="2"/>
        <v>2882342.0210604286</v>
      </c>
      <c r="O26" s="95">
        <f t="shared" si="3"/>
        <v>130854.58071151607</v>
      </c>
    </row>
    <row r="27" spans="1:15" x14ac:dyDescent="0.25">
      <c r="A27" s="95">
        <v>25</v>
      </c>
      <c r="B27" s="95">
        <f t="shared" si="5"/>
        <v>2038</v>
      </c>
      <c r="C27" s="367">
        <f>$F$140</f>
        <v>2520000</v>
      </c>
      <c r="D27" s="368">
        <f>'CO '!B1748+'VT '!B343</f>
        <v>500462788.69152665</v>
      </c>
      <c r="E27" s="369">
        <f t="shared" si="0"/>
        <v>148234.73251167918</v>
      </c>
      <c r="F27" s="367">
        <f>D27*K27</f>
        <v>29438876.037197407</v>
      </c>
      <c r="G27" s="371">
        <f t="shared" si="8"/>
        <v>497942788.69152665</v>
      </c>
      <c r="H27" s="371">
        <f t="shared" si="9"/>
        <v>29290641.304685727</v>
      </c>
      <c r="I27" s="371">
        <f t="shared" si="10"/>
        <v>6922033187.6956158</v>
      </c>
      <c r="J27" s="371">
        <f t="shared" si="10"/>
        <v>941776594.26236844</v>
      </c>
      <c r="K27" s="95">
        <f t="shared" si="7"/>
        <v>5.8823306552253637E-2</v>
      </c>
      <c r="L27" s="550">
        <f>'CO '!H1748+'VT '!E343</f>
        <v>282288640.35186005</v>
      </c>
      <c r="M27" s="95">
        <f t="shared" si="4"/>
        <v>16605151.227636339</v>
      </c>
      <c r="N27" s="95">
        <f t="shared" si="2"/>
        <v>148234.73251167918</v>
      </c>
      <c r="O27" s="95">
        <f t="shared" si="3"/>
        <v>116834.44706385363</v>
      </c>
    </row>
    <row r="28" spans="1:15" x14ac:dyDescent="0.25">
      <c r="A28" s="95">
        <v>26</v>
      </c>
      <c r="B28" s="95">
        <f t="shared" si="5"/>
        <v>2039</v>
      </c>
      <c r="C28" s="367">
        <f>$F$140</f>
        <v>2520000</v>
      </c>
      <c r="D28" s="368">
        <f>'CO '!B1749+'VT '!B344</f>
        <v>514078627.41055143</v>
      </c>
      <c r="E28" s="369">
        <f t="shared" si="0"/>
        <v>132352.43974257068</v>
      </c>
      <c r="F28" s="367">
        <f t="shared" si="1"/>
        <v>26999825.617975578</v>
      </c>
      <c r="G28" s="371">
        <f t="shared" si="8"/>
        <v>511558627.41055143</v>
      </c>
      <c r="H28" s="371">
        <f t="shared" si="9"/>
        <v>26867473.178233009</v>
      </c>
      <c r="I28" s="371">
        <f t="shared" si="10"/>
        <v>7433591815.1061668</v>
      </c>
      <c r="J28" s="371">
        <f t="shared" si="10"/>
        <v>968644067.44060147</v>
      </c>
      <c r="K28" s="95">
        <f t="shared" si="7"/>
        <v>5.2520809421655032E-2</v>
      </c>
      <c r="L28" s="550">
        <f>'CO '!H1749+'VT '!E344</f>
        <v>289359254.62069458</v>
      </c>
      <c r="M28" s="95">
        <f t="shared" si="4"/>
        <v>15197382.266325653</v>
      </c>
      <c r="N28" s="95">
        <f t="shared" si="2"/>
        <v>132352.43974257068</v>
      </c>
      <c r="O28" s="95">
        <f t="shared" si="3"/>
        <v>104316.47059272644</v>
      </c>
    </row>
    <row r="29" spans="1:15" x14ac:dyDescent="0.25">
      <c r="A29" s="95">
        <v>27</v>
      </c>
      <c r="B29" s="95">
        <f t="shared" si="5"/>
        <v>2040</v>
      </c>
      <c r="C29" s="367">
        <f>$F$140</f>
        <v>2520000</v>
      </c>
      <c r="D29" s="368">
        <f>'CO '!B1750+'VT '!B345</f>
        <v>527147746.64852595</v>
      </c>
      <c r="E29" s="369">
        <f t="shared" si="0"/>
        <v>118171.8211987238</v>
      </c>
      <c r="F29" s="367">
        <f t="shared" si="1"/>
        <v>24719844.945341177</v>
      </c>
      <c r="G29" s="371">
        <f t="shared" si="8"/>
        <v>524627746.64852595</v>
      </c>
      <c r="H29" s="371">
        <f t="shared" si="9"/>
        <v>24601673.124142453</v>
      </c>
      <c r="I29" s="371">
        <f t="shared" si="10"/>
        <v>7958219561.754693</v>
      </c>
      <c r="J29" s="371">
        <f t="shared" si="10"/>
        <v>993245740.56474388</v>
      </c>
      <c r="K29" s="95">
        <f t="shared" si="7"/>
        <v>4.6893579840763415E-2</v>
      </c>
      <c r="L29" s="550">
        <f>'CO '!H1750+'VT '!E345</f>
        <v>295686792.67497337</v>
      </c>
      <c r="M29" s="95">
        <f t="shared" si="4"/>
        <v>13865812.220163122</v>
      </c>
      <c r="N29" s="95">
        <f t="shared" si="2"/>
        <v>118171.8211987238</v>
      </c>
      <c r="O29" s="95">
        <f t="shared" si="3"/>
        <v>93139.705886362892</v>
      </c>
    </row>
    <row r="30" spans="1:15" x14ac:dyDescent="0.25">
      <c r="A30" s="95">
        <v>28</v>
      </c>
      <c r="B30" s="95">
        <f t="shared" si="5"/>
        <v>2041</v>
      </c>
      <c r="C30" s="367">
        <f>F145</f>
        <v>8750000</v>
      </c>
      <c r="D30" s="368">
        <f>'CO '!B1751+'VT '!B346</f>
        <v>537172439.70469642</v>
      </c>
      <c r="E30" s="369">
        <f t="shared" si="0"/>
        <v>366356.09250596422</v>
      </c>
      <c r="F30" s="367">
        <f t="shared" si="1"/>
        <v>22491016.687098086</v>
      </c>
      <c r="G30" s="371">
        <f t="shared" si="8"/>
        <v>528422439.70469642</v>
      </c>
      <c r="H30" s="371">
        <f t="shared" si="9"/>
        <v>22124660.59459212</v>
      </c>
      <c r="I30" s="371">
        <f t="shared" si="10"/>
        <v>8486642001.4593897</v>
      </c>
      <c r="J30" s="371">
        <f t="shared" si="10"/>
        <v>1015370401.159336</v>
      </c>
      <c r="K30" s="95">
        <f t="shared" si="7"/>
        <v>4.1869267714967337E-2</v>
      </c>
      <c r="L30" s="550">
        <f>'CO '!H1751+'VT '!E346</f>
        <v>302023781.770208</v>
      </c>
      <c r="M30" s="95">
        <f t="shared" si="4"/>
        <v>12645514.57522371</v>
      </c>
      <c r="N30" s="95">
        <f t="shared" si="2"/>
        <v>366356.09250596422</v>
      </c>
      <c r="O30" s="95">
        <f t="shared" si="3"/>
        <v>83160.451684252577</v>
      </c>
    </row>
    <row r="31" spans="1:15" x14ac:dyDescent="0.25">
      <c r="A31" s="95">
        <v>29</v>
      </c>
      <c r="B31" s="95">
        <f t="shared" si="5"/>
        <v>2042</v>
      </c>
      <c r="C31" s="367">
        <f>$F$140</f>
        <v>2520000</v>
      </c>
      <c r="D31" s="368">
        <f>'CO '!B1752+'VT '!B347</f>
        <v>550558278.93094718</v>
      </c>
      <c r="E31" s="369">
        <f t="shared" si="0"/>
        <v>94205.852358676493</v>
      </c>
      <c r="F31" s="367">
        <f t="shared" si="1"/>
        <v>20581671.404688828</v>
      </c>
      <c r="G31" s="371">
        <f t="shared" si="8"/>
        <v>548038278.93094718</v>
      </c>
      <c r="H31" s="371">
        <f t="shared" si="9"/>
        <v>20487465.552330151</v>
      </c>
      <c r="I31" s="371">
        <f t="shared" si="10"/>
        <v>9034680280.390337</v>
      </c>
      <c r="J31" s="371">
        <f t="shared" si="10"/>
        <v>1035857866.7116661</v>
      </c>
      <c r="K31" s="95">
        <f t="shared" si="7"/>
        <v>3.7383274745506546E-2</v>
      </c>
      <c r="L31" s="550">
        <f>'CO '!H1752+'VT '!E347</f>
        <v>308355161.25842428</v>
      </c>
      <c r="M31" s="95">
        <f t="shared" si="4"/>
        <v>11527325.712518651</v>
      </c>
      <c r="N31" s="95">
        <f t="shared" si="2"/>
        <v>94205.852358676493</v>
      </c>
      <c r="O31" s="95">
        <f t="shared" si="3"/>
        <v>74250.403289511232</v>
      </c>
    </row>
    <row r="32" spans="1:15" ht="15.75" thickBot="1" x14ac:dyDescent="0.3">
      <c r="A32" s="153">
        <v>30</v>
      </c>
      <c r="B32" s="95">
        <f t="shared" si="5"/>
        <v>2043</v>
      </c>
      <c r="C32" s="367">
        <f>$F$140</f>
        <v>2520000</v>
      </c>
      <c r="D32" s="368">
        <f>'CO '!B1753+'VT '!B348</f>
        <v>564133143.11150837</v>
      </c>
      <c r="E32" s="369">
        <f t="shared" si="0"/>
        <v>84112.368177389711</v>
      </c>
      <c r="F32" s="367">
        <f t="shared" si="1"/>
        <v>18829593.108913999</v>
      </c>
      <c r="G32" s="372">
        <f t="shared" si="8"/>
        <v>561613143.11150837</v>
      </c>
      <c r="H32" s="372">
        <f t="shared" si="9"/>
        <v>18745480.740736611</v>
      </c>
      <c r="I32" s="372">
        <f t="shared" si="10"/>
        <v>9596293423.5018463</v>
      </c>
      <c r="J32" s="371">
        <f t="shared" si="10"/>
        <v>1054603347.4524027</v>
      </c>
      <c r="K32" s="95">
        <f t="shared" si="7"/>
        <v>3.3377923879916553E-2</v>
      </c>
      <c r="L32" s="550">
        <f>'CO '!H1753+'VT '!E348</f>
        <v>314663931.90880972</v>
      </c>
      <c r="M32" s="95">
        <f t="shared" si="4"/>
        <v>10502828.767007496</v>
      </c>
      <c r="N32" s="95">
        <f t="shared" si="2"/>
        <v>84112.368177389711</v>
      </c>
      <c r="O32" s="95">
        <f t="shared" si="3"/>
        <v>66295.002937063589</v>
      </c>
    </row>
    <row r="33" spans="1:15" ht="15.75" thickBot="1" x14ac:dyDescent="0.3">
      <c r="A33" s="361"/>
      <c r="B33" s="373" t="s">
        <v>355</v>
      </c>
      <c r="C33" s="374">
        <f t="shared" ref="C33:H33" si="11">SUM(C2:C32)</f>
        <v>1207210000</v>
      </c>
      <c r="D33" s="374">
        <f t="shared" si="11"/>
        <v>10803503423.501842</v>
      </c>
      <c r="E33" s="374">
        <f t="shared" si="11"/>
        <v>924553228.29349911</v>
      </c>
      <c r="F33" s="374">
        <f t="shared" si="11"/>
        <v>1979156575.7459016</v>
      </c>
      <c r="G33" s="374">
        <f t="shared" si="11"/>
        <v>9596293423.5018463</v>
      </c>
      <c r="H33" s="374">
        <f t="shared" si="11"/>
        <v>1054603347.4524027</v>
      </c>
      <c r="I33" s="374"/>
      <c r="J33" s="375"/>
      <c r="L33">
        <f>SUM(L2:L32)</f>
        <v>6367226840.5152569</v>
      </c>
      <c r="M33" s="558">
        <f>SUM(M3:M32)</f>
        <v>1268731335.3818934</v>
      </c>
      <c r="N33" s="558">
        <f>SUM(N2:N32)</f>
        <v>924553228.29349911</v>
      </c>
      <c r="O33" s="558">
        <f t="shared" ref="O33" si="12">SUM(O3:O32)</f>
        <v>15999151.017191131</v>
      </c>
    </row>
    <row r="34" spans="1:15" x14ac:dyDescent="0.25">
      <c r="L34" s="506"/>
      <c r="N34" s="560"/>
      <c r="O34" s="560"/>
    </row>
    <row r="35" spans="1:15" x14ac:dyDescent="0.25">
      <c r="E35" t="s">
        <v>32</v>
      </c>
      <c r="F35" s="376">
        <f>H33</f>
        <v>1054603347.4524027</v>
      </c>
      <c r="G35">
        <f>F35/1000000</f>
        <v>1054.6033474524027</v>
      </c>
      <c r="H35" t="s">
        <v>356</v>
      </c>
      <c r="M35" s="559"/>
      <c r="N35" s="560"/>
    </row>
    <row r="36" spans="1:15" x14ac:dyDescent="0.25">
      <c r="E36" s="377">
        <v>0.12</v>
      </c>
      <c r="F36" s="378" t="s">
        <v>34</v>
      </c>
      <c r="G36" s="392">
        <f>IRR(G2:G32)</f>
        <v>0.2271937965641011</v>
      </c>
      <c r="H36" s="389"/>
      <c r="M36" s="70" t="s">
        <v>539</v>
      </c>
    </row>
    <row r="37" spans="1:15" x14ac:dyDescent="0.25">
      <c r="F37" s="379" t="s">
        <v>35</v>
      </c>
      <c r="G37" s="390">
        <f>F33/E33</f>
        <v>2.1406626629804153</v>
      </c>
      <c r="M37" s="514" t="s">
        <v>524</v>
      </c>
      <c r="N37" s="514">
        <f>N33/O33</f>
        <v>57.787643063064046</v>
      </c>
    </row>
    <row r="38" spans="1:15" x14ac:dyDescent="0.25">
      <c r="F38" s="380" t="s">
        <v>36</v>
      </c>
      <c r="G38" s="391">
        <f>F3/E2</f>
        <v>0.16861197148765109</v>
      </c>
      <c r="M38" s="514" t="s">
        <v>525</v>
      </c>
      <c r="N38" s="514">
        <f>F33/O33</f>
        <v>123.7038498867404</v>
      </c>
    </row>
    <row r="39" spans="1:15" x14ac:dyDescent="0.25">
      <c r="F39" s="380" t="s">
        <v>38</v>
      </c>
      <c r="G39" s="388">
        <f>G38</f>
        <v>0.16861197148765109</v>
      </c>
      <c r="H39" s="108"/>
      <c r="M39" s="514" t="s">
        <v>526</v>
      </c>
      <c r="N39" s="514">
        <f>M33/O33</f>
        <v>79.299916227969732</v>
      </c>
    </row>
    <row r="40" spans="1:15" x14ac:dyDescent="0.25">
      <c r="F40" s="380" t="s">
        <v>45</v>
      </c>
      <c r="G40" s="387">
        <f>IF(J2&gt;0,A2,IF(J3&gt;0,A3,IF(J4&gt;0,A4,IF(J5&gt;0,A5,IF(J6&gt;0,A6,IF(J7&gt;0,A7,IF(J8&gt;0,A8,IF(J9&gt;0,A9,IF(0&lt;J10,A10,IF(0&lt;J11,A11,IF(0&lt;J12,A12,IF(0&lt;J13,A13,IF(0&lt;J14,A14,IF(J15&gt;0,A15,IF(J16&gt;0,A16,IF(J17&gt;0,A17,IF(J18&gt;0,A18,IF(J19&gt;0,A19,IF(J20&gt;0,A20,IF(J21&gt;0,A21,IF(J22&gt;0,A22,IF(J23&gt;0,A23,IF(J24&gt;0,A24,IF(J25&gt;0,A25,IF(J26&gt;0,A26,IF(J27&gt;0,A27,IF(J28&gt;0,A28,IF(J29&gt;0,A29,IF(J30&gt;0,A30,IF(J31&gt;0,A31,IF(J32&gt;0,A32,"NO PASA LA EVALUACIÓN")))))))))))))))))))))))))))))))</f>
        <v>9</v>
      </c>
    </row>
    <row r="41" spans="1:15" x14ac:dyDescent="0.25">
      <c r="F41" s="257"/>
      <c r="G41" s="47"/>
      <c r="M41" s="70" t="s">
        <v>538</v>
      </c>
    </row>
    <row r="42" spans="1:15" x14ac:dyDescent="0.25">
      <c r="F42" s="257"/>
      <c r="G42" s="47"/>
      <c r="M42" s="514" t="s">
        <v>524</v>
      </c>
      <c r="N42" s="514">
        <f>N37/'DATOS DE ENTRADA'!C23</f>
        <v>0.82553775804377205</v>
      </c>
    </row>
    <row r="43" spans="1:15" x14ac:dyDescent="0.25">
      <c r="F43" s="257"/>
      <c r="G43" s="47"/>
      <c r="M43" s="514" t="s">
        <v>525</v>
      </c>
      <c r="N43" s="514">
        <f>N38/'DATOS DE ENTRADA'!C23</f>
        <v>1.7671978555248629</v>
      </c>
    </row>
    <row r="44" spans="1:15" x14ac:dyDescent="0.25">
      <c r="F44" s="257"/>
      <c r="G44" s="47"/>
      <c r="M44" s="514" t="s">
        <v>526</v>
      </c>
      <c r="N44" s="514">
        <f>N39/'DATOS DE ENTRADA'!C23</f>
        <v>1.1328559461138532</v>
      </c>
    </row>
    <row r="45" spans="1:15" x14ac:dyDescent="0.25">
      <c r="F45" s="257"/>
      <c r="G45" s="47"/>
    </row>
    <row r="46" spans="1:15" ht="15.75" thickBot="1" x14ac:dyDescent="0.3"/>
    <row r="47" spans="1:15" ht="50.25" customHeight="1" thickBot="1" x14ac:dyDescent="0.3">
      <c r="A47" s="361" t="s">
        <v>45</v>
      </c>
      <c r="B47" s="362" t="s">
        <v>18</v>
      </c>
      <c r="C47" s="363" t="s">
        <v>346</v>
      </c>
      <c r="D47" s="364" t="s">
        <v>347</v>
      </c>
      <c r="E47" s="363" t="s">
        <v>348</v>
      </c>
      <c r="F47" s="363" t="s">
        <v>349</v>
      </c>
      <c r="G47" s="363" t="s">
        <v>350</v>
      </c>
      <c r="H47" s="363" t="s">
        <v>351</v>
      </c>
      <c r="I47" s="363" t="s">
        <v>352</v>
      </c>
      <c r="J47" s="365" t="s">
        <v>353</v>
      </c>
      <c r="K47" s="366" t="s">
        <v>354</v>
      </c>
      <c r="L47" s="552" t="s">
        <v>535</v>
      </c>
      <c r="M47" s="552" t="s">
        <v>536</v>
      </c>
      <c r="N47" s="552" t="s">
        <v>537</v>
      </c>
      <c r="O47" s="552" t="s">
        <v>523</v>
      </c>
    </row>
    <row r="48" spans="1:15" x14ac:dyDescent="0.25">
      <c r="A48" s="162">
        <v>0</v>
      </c>
      <c r="B48" s="162">
        <v>2013</v>
      </c>
      <c r="C48" s="367">
        <f>'DATOS DE ENTRADA'!C22*'DATOS DE ENTRADA'!D21</f>
        <v>425000000</v>
      </c>
      <c r="D48" s="368">
        <v>0</v>
      </c>
      <c r="E48" s="369">
        <f>C48*K48</f>
        <v>425000000</v>
      </c>
      <c r="F48" s="367">
        <f>D48*K48</f>
        <v>0</v>
      </c>
      <c r="G48" s="369">
        <f t="shared" ref="G48:G53" si="13">D48-C48</f>
        <v>-425000000</v>
      </c>
      <c r="H48" s="369">
        <f>F48-E48</f>
        <v>-425000000</v>
      </c>
      <c r="I48" s="369">
        <f>G48</f>
        <v>-425000000</v>
      </c>
      <c r="J48" s="370">
        <f>H48</f>
        <v>-425000000</v>
      </c>
      <c r="K48" s="95">
        <f t="shared" ref="K48:K79" si="14">1/(1+$E$36)^A48</f>
        <v>1</v>
      </c>
      <c r="L48" s="95"/>
      <c r="M48" s="95"/>
      <c r="N48" s="95">
        <f t="shared" ref="N48:N79" si="15">C48*K48</f>
        <v>425000000</v>
      </c>
      <c r="O48" s="95">
        <f t="shared" ref="O48:O79" si="16">$J$204*365*K48</f>
        <v>1986193.125</v>
      </c>
    </row>
    <row r="49" spans="1:15" x14ac:dyDescent="0.25">
      <c r="A49" s="95">
        <v>1</v>
      </c>
      <c r="B49" s="95">
        <f>B48+1</f>
        <v>2014</v>
      </c>
      <c r="C49" s="367">
        <f>'DATOS DE ENTRADA'!C22*'DATOS DE ENTRADA'!E21</f>
        <v>212500000</v>
      </c>
      <c r="D49" s="368">
        <f>'VT '!B361+'CO '!B1766</f>
        <v>0</v>
      </c>
      <c r="E49" s="369">
        <f>C49*K49</f>
        <v>189732142.85714284</v>
      </c>
      <c r="F49" s="367">
        <f>D49*K49</f>
        <v>0</v>
      </c>
      <c r="G49" s="371">
        <f t="shared" si="13"/>
        <v>-212500000</v>
      </c>
      <c r="H49" s="371">
        <f>F49-E49</f>
        <v>-189732142.85714284</v>
      </c>
      <c r="I49" s="371">
        <f>I48+G49</f>
        <v>-637500000</v>
      </c>
      <c r="J49" s="370">
        <f>J48+H49</f>
        <v>-614732142.85714281</v>
      </c>
      <c r="K49" s="95">
        <f t="shared" si="14"/>
        <v>0.89285714285714279</v>
      </c>
      <c r="L49" s="550"/>
      <c r="M49" s="95"/>
      <c r="N49" s="95">
        <f t="shared" si="15"/>
        <v>189732142.85714284</v>
      </c>
      <c r="O49" s="95">
        <f t="shared" si="16"/>
        <v>1773386.7187499998</v>
      </c>
    </row>
    <row r="50" spans="1:15" x14ac:dyDescent="0.25">
      <c r="A50" s="95">
        <v>2</v>
      </c>
      <c r="B50" s="95">
        <f t="shared" ref="B50:B79" si="17">B49+1</f>
        <v>2015</v>
      </c>
      <c r="C50" s="367">
        <f>C3</f>
        <v>2520000</v>
      </c>
      <c r="D50" s="368">
        <f>'CO '!B1725+'VT '!B320</f>
        <v>164895054.87228179</v>
      </c>
      <c r="E50" s="369">
        <f>C50*K50</f>
        <v>2008928.5714285714</v>
      </c>
      <c r="F50" s="367">
        <f>D50*K50</f>
        <v>131453328.18262258</v>
      </c>
      <c r="G50" s="371">
        <f t="shared" si="13"/>
        <v>162375054.87228179</v>
      </c>
      <c r="H50" s="371">
        <f>F50-E50</f>
        <v>129444399.61119401</v>
      </c>
      <c r="I50" s="371">
        <f t="shared" ref="I50:I78" si="18">I49+G50</f>
        <v>-475124945.12771821</v>
      </c>
      <c r="J50" s="370">
        <f t="shared" ref="J50:J78" si="19">J49+H50</f>
        <v>-485287743.24594879</v>
      </c>
      <c r="K50" s="95">
        <f t="shared" si="14"/>
        <v>0.79719387755102034</v>
      </c>
      <c r="L50" s="550">
        <f>'CO '!H1725+'VT '!E320</f>
        <v>118605969.65391222</v>
      </c>
      <c r="M50" s="95">
        <f t="shared" ref="M50:M79" si="20">L50*K50</f>
        <v>94551952.849100932</v>
      </c>
      <c r="N50" s="95">
        <f t="shared" si="15"/>
        <v>2008928.5714285714</v>
      </c>
      <c r="O50" s="95">
        <f t="shared" si="16"/>
        <v>1583380.9988839284</v>
      </c>
    </row>
    <row r="51" spans="1:15" x14ac:dyDescent="0.25">
      <c r="A51" s="95">
        <v>3</v>
      </c>
      <c r="B51" s="95">
        <f t="shared" si="17"/>
        <v>2016</v>
      </c>
      <c r="C51" s="367">
        <f t="shared" ref="C51:C79" si="21">C4</f>
        <v>2520000</v>
      </c>
      <c r="D51" s="368">
        <f>'CO '!B1726+'VT '!B321</f>
        <v>169550304.74591303</v>
      </c>
      <c r="E51" s="369">
        <f t="shared" ref="E51:E63" si="22">C51*K51</f>
        <v>1793686.2244897955</v>
      </c>
      <c r="F51" s="367">
        <f t="shared" ref="F51:F72" si="23">D51*K51</f>
        <v>120682557.92888531</v>
      </c>
      <c r="G51" s="371">
        <f t="shared" si="13"/>
        <v>167030304.74591303</v>
      </c>
      <c r="H51" s="371">
        <f t="shared" ref="H51:H78" si="24">F51-E51</f>
        <v>118888871.70439552</v>
      </c>
      <c r="I51" s="371">
        <f t="shared" si="18"/>
        <v>-308094640.38180518</v>
      </c>
      <c r="J51" s="370">
        <f t="shared" si="19"/>
        <v>-366398871.54155326</v>
      </c>
      <c r="K51" s="95">
        <f t="shared" si="14"/>
        <v>0.71178024781341087</v>
      </c>
      <c r="L51" s="550">
        <f>'CO '!H1726+'VT '!E321</f>
        <v>121872546.9709923</v>
      </c>
      <c r="M51" s="95">
        <f t="shared" si="20"/>
        <v>86746471.684664458</v>
      </c>
      <c r="N51" s="95">
        <f t="shared" si="15"/>
        <v>1793686.2244897955</v>
      </c>
      <c r="O51" s="95">
        <f t="shared" si="16"/>
        <v>1413733.0347177929</v>
      </c>
    </row>
    <row r="52" spans="1:15" x14ac:dyDescent="0.25">
      <c r="A52" s="95">
        <v>4</v>
      </c>
      <c r="B52" s="95">
        <f t="shared" si="17"/>
        <v>2017</v>
      </c>
      <c r="C52" s="367">
        <f t="shared" si="21"/>
        <v>2520000</v>
      </c>
      <c r="D52" s="368">
        <f>'CO '!B1727+'VT '!B322</f>
        <v>174142820.46085772</v>
      </c>
      <c r="E52" s="369">
        <f t="shared" si="22"/>
        <v>1601505.5575801746</v>
      </c>
      <c r="F52" s="367">
        <f t="shared" si="23"/>
        <v>110670910.62728181</v>
      </c>
      <c r="G52" s="371">
        <f t="shared" si="13"/>
        <v>171622820.46085772</v>
      </c>
      <c r="H52" s="371">
        <f t="shared" si="24"/>
        <v>109069405.06970164</v>
      </c>
      <c r="I52" s="371">
        <f t="shared" si="18"/>
        <v>-136471819.92094746</v>
      </c>
      <c r="J52" s="370">
        <f t="shared" si="19"/>
        <v>-257329466.47185162</v>
      </c>
      <c r="K52" s="95">
        <f t="shared" si="14"/>
        <v>0.63551807840483121</v>
      </c>
      <c r="L52" s="550">
        <f>'CO '!H1727+'VT '!E322</f>
        <v>125034729.95268948</v>
      </c>
      <c r="M52" s="95">
        <f t="shared" si="20"/>
        <v>79461831.313400209</v>
      </c>
      <c r="N52" s="95">
        <f t="shared" si="15"/>
        <v>1601505.5575801746</v>
      </c>
      <c r="O52" s="95">
        <f t="shared" si="16"/>
        <v>1262261.6381408868</v>
      </c>
    </row>
    <row r="53" spans="1:15" x14ac:dyDescent="0.25">
      <c r="A53" s="95">
        <v>5</v>
      </c>
      <c r="B53" s="95">
        <f t="shared" si="17"/>
        <v>2018</v>
      </c>
      <c r="C53" s="367">
        <f t="shared" si="21"/>
        <v>8750000</v>
      </c>
      <c r="D53" s="368">
        <f>'CO '!B1728+'VT '!B323</f>
        <v>178839445.30298889</v>
      </c>
      <c r="E53" s="369">
        <f t="shared" si="22"/>
        <v>4964984.9875377426</v>
      </c>
      <c r="F53" s="367">
        <f t="shared" si="23"/>
        <v>101478304.12673339</v>
      </c>
      <c r="G53" s="371">
        <f t="shared" si="13"/>
        <v>170089445.30298889</v>
      </c>
      <c r="H53" s="371">
        <f t="shared" si="24"/>
        <v>96513319.139195651</v>
      </c>
      <c r="I53" s="371">
        <f t="shared" si="18"/>
        <v>33617625.382041425</v>
      </c>
      <c r="J53" s="370">
        <f t="shared" si="19"/>
        <v>-160816147.33265597</v>
      </c>
      <c r="K53" s="95">
        <f t="shared" si="14"/>
        <v>0.56742685571859919</v>
      </c>
      <c r="L53" s="550">
        <f>'CO '!H1728+'VT '!E323</f>
        <v>128258112.07957558</v>
      </c>
      <c r="M53" s="95">
        <f t="shared" si="20"/>
        <v>72777097.257717252</v>
      </c>
      <c r="N53" s="95">
        <f t="shared" si="15"/>
        <v>4964984.9875377426</v>
      </c>
      <c r="O53" s="95">
        <f t="shared" si="16"/>
        <v>1127019.3197686486</v>
      </c>
    </row>
    <row r="54" spans="1:15" x14ac:dyDescent="0.25">
      <c r="A54" s="95">
        <v>6</v>
      </c>
      <c r="B54" s="95">
        <f t="shared" si="17"/>
        <v>2019</v>
      </c>
      <c r="C54" s="367">
        <f t="shared" si="21"/>
        <v>2520000</v>
      </c>
      <c r="D54" s="368">
        <f>'CO '!B1729+'VT '!B324</f>
        <v>183640879.22100008</v>
      </c>
      <c r="E54" s="369">
        <f t="shared" si="22"/>
        <v>1276710.425366848</v>
      </c>
      <c r="F54" s="367">
        <f t="shared" si="23"/>
        <v>93038184.533724204</v>
      </c>
      <c r="G54" s="371">
        <f t="shared" ref="G54:G65" si="25">D54-C54</f>
        <v>181120879.22100008</v>
      </c>
      <c r="H54" s="371">
        <f t="shared" si="24"/>
        <v>91761474.108357355</v>
      </c>
      <c r="I54" s="371">
        <f t="shared" si="18"/>
        <v>214738504.6030415</v>
      </c>
      <c r="J54" s="370">
        <f t="shared" si="19"/>
        <v>-69054673.224298611</v>
      </c>
      <c r="K54" s="95">
        <f t="shared" si="14"/>
        <v>0.50663112117732068</v>
      </c>
      <c r="L54" s="550">
        <f>'CO '!H1729+'VT '!E324</f>
        <v>131542106.00088428</v>
      </c>
      <c r="M54" s="95">
        <f t="shared" si="20"/>
        <v>66643324.645253964</v>
      </c>
      <c r="N54" s="95">
        <f t="shared" si="15"/>
        <v>1276710.425366848</v>
      </c>
      <c r="O54" s="95">
        <f t="shared" si="16"/>
        <v>1006267.2497934363</v>
      </c>
    </row>
    <row r="55" spans="1:15" x14ac:dyDescent="0.25">
      <c r="A55" s="95">
        <v>7</v>
      </c>
      <c r="B55" s="95">
        <f t="shared" si="17"/>
        <v>2020</v>
      </c>
      <c r="C55" s="367">
        <f t="shared" si="21"/>
        <v>2520000</v>
      </c>
      <c r="D55" s="368">
        <f>'CO '!B1730+'VT '!B325</f>
        <v>188547655.20609868</v>
      </c>
      <c r="E55" s="369">
        <f t="shared" si="22"/>
        <v>1139920.0226489715</v>
      </c>
      <c r="F55" s="367">
        <f t="shared" si="23"/>
        <v>85289383.886089861</v>
      </c>
      <c r="G55" s="371">
        <f t="shared" si="25"/>
        <v>186027655.20609868</v>
      </c>
      <c r="H55" s="371">
        <f t="shared" si="24"/>
        <v>84149463.863440886</v>
      </c>
      <c r="I55" s="371">
        <f t="shared" si="18"/>
        <v>400766159.80914021</v>
      </c>
      <c r="J55" s="370">
        <f t="shared" si="19"/>
        <v>15094790.639142275</v>
      </c>
      <c r="K55" s="95">
        <f t="shared" si="14"/>
        <v>0.45234921533689343</v>
      </c>
      <c r="L55" s="550">
        <f>'CO '!H1730+'VT '!E325</f>
        <v>134885918.78937948</v>
      </c>
      <c r="M55" s="95">
        <f t="shared" si="20"/>
        <v>61015539.524371736</v>
      </c>
      <c r="N55" s="95">
        <f t="shared" si="15"/>
        <v>1139920.0226489715</v>
      </c>
      <c r="O55" s="95">
        <f t="shared" si="16"/>
        <v>898452.9016012823</v>
      </c>
    </row>
    <row r="56" spans="1:15" x14ac:dyDescent="0.25">
      <c r="A56" s="95">
        <v>8</v>
      </c>
      <c r="B56" s="95">
        <f t="shared" si="17"/>
        <v>2021</v>
      </c>
      <c r="C56" s="367">
        <f t="shared" si="21"/>
        <v>2520000</v>
      </c>
      <c r="D56" s="368">
        <f>'CO '!B1731+'VT '!B326</f>
        <v>191880793.55601016</v>
      </c>
      <c r="E56" s="369">
        <f t="shared" si="22"/>
        <v>1017785.7345080101</v>
      </c>
      <c r="F56" s="367">
        <f t="shared" si="23"/>
        <v>77497434.288644314</v>
      </c>
      <c r="G56" s="371">
        <f t="shared" si="25"/>
        <v>189360793.55601016</v>
      </c>
      <c r="H56" s="371">
        <f t="shared" si="24"/>
        <v>76479648.554136306</v>
      </c>
      <c r="I56" s="371">
        <f t="shared" si="18"/>
        <v>590126953.36515033</v>
      </c>
      <c r="J56" s="370">
        <f t="shared" si="19"/>
        <v>91574439.193278581</v>
      </c>
      <c r="K56" s="95">
        <f t="shared" si="14"/>
        <v>0.4038832279793691</v>
      </c>
      <c r="L56" s="550">
        <f>'CO '!H1731+'VT '!E326</f>
        <v>138288529.74001664</v>
      </c>
      <c r="M56" s="95">
        <f t="shared" si="20"/>
        <v>55852417.783918902</v>
      </c>
      <c r="N56" s="95">
        <f t="shared" si="15"/>
        <v>1017785.7345080101</v>
      </c>
      <c r="O56" s="95">
        <f t="shared" si="16"/>
        <v>802190.09071543056</v>
      </c>
    </row>
    <row r="57" spans="1:15" x14ac:dyDescent="0.25">
      <c r="A57" s="95">
        <v>9</v>
      </c>
      <c r="B57" s="95">
        <f t="shared" si="17"/>
        <v>2022</v>
      </c>
      <c r="C57" s="367">
        <f t="shared" si="21"/>
        <v>43750000</v>
      </c>
      <c r="D57" s="368">
        <f>'CO '!B1732+'VT '!B327</f>
        <v>196948697.70353335</v>
      </c>
      <c r="E57" s="369">
        <f t="shared" si="22"/>
        <v>15776688.592944106</v>
      </c>
      <c r="F57" s="367">
        <f t="shared" si="23"/>
        <v>71021674.79896073</v>
      </c>
      <c r="G57" s="371">
        <f t="shared" si="25"/>
        <v>153198697.70353335</v>
      </c>
      <c r="H57" s="371">
        <f t="shared" si="24"/>
        <v>55244986.206016622</v>
      </c>
      <c r="I57" s="371">
        <f t="shared" si="18"/>
        <v>743325651.06868362</v>
      </c>
      <c r="J57" s="370">
        <f t="shared" si="19"/>
        <v>146819425.39929521</v>
      </c>
      <c r="K57" s="95">
        <f t="shared" si="14"/>
        <v>0.36061002498157957</v>
      </c>
      <c r="L57" s="550">
        <f>'CO '!H1732+'VT '!E327</f>
        <v>141748665.97305989</v>
      </c>
      <c r="M57" s="95">
        <f t="shared" si="20"/>
        <v>51115989.977650702</v>
      </c>
      <c r="N57" s="95">
        <f t="shared" si="15"/>
        <v>15776688.592944106</v>
      </c>
      <c r="O57" s="95">
        <f t="shared" si="16"/>
        <v>716241.15242449159</v>
      </c>
    </row>
    <row r="58" spans="1:15" x14ac:dyDescent="0.25">
      <c r="A58" s="95">
        <v>10</v>
      </c>
      <c r="B58" s="95">
        <f t="shared" si="17"/>
        <v>2023</v>
      </c>
      <c r="C58" s="367">
        <f t="shared" si="21"/>
        <v>2520000</v>
      </c>
      <c r="D58" s="368">
        <f>'CO '!B1733+'VT '!B328</f>
        <v>202120808.29358405</v>
      </c>
      <c r="E58" s="369">
        <f t="shared" si="22"/>
        <v>811372.55620855384</v>
      </c>
      <c r="F58" s="367">
        <f t="shared" si="23"/>
        <v>65077490.828612842</v>
      </c>
      <c r="G58" s="371">
        <f t="shared" si="25"/>
        <v>199600808.29358405</v>
      </c>
      <c r="H58" s="371">
        <f t="shared" si="24"/>
        <v>64266118.272404291</v>
      </c>
      <c r="I58" s="371">
        <f t="shared" si="18"/>
        <v>942926459.36226773</v>
      </c>
      <c r="J58" s="370">
        <f t="shared" si="19"/>
        <v>211085543.67169949</v>
      </c>
      <c r="K58" s="95">
        <f t="shared" si="14"/>
        <v>0.32197323659069599</v>
      </c>
      <c r="L58" s="550">
        <f>'CO '!H1733+'VT '!E328</f>
        <v>145264775.61119667</v>
      </c>
      <c r="M58" s="95">
        <f t="shared" si="20"/>
        <v>46771369.966158189</v>
      </c>
      <c r="N58" s="95">
        <f t="shared" si="15"/>
        <v>811372.55620855384</v>
      </c>
      <c r="O58" s="95">
        <f t="shared" si="16"/>
        <v>639501.02895043883</v>
      </c>
    </row>
    <row r="59" spans="1:15" x14ac:dyDescent="0.25">
      <c r="A59" s="95">
        <v>11</v>
      </c>
      <c r="B59" s="95">
        <f t="shared" si="17"/>
        <v>2024</v>
      </c>
      <c r="C59" s="367">
        <f t="shared" si="21"/>
        <v>2520000</v>
      </c>
      <c r="D59" s="368">
        <f>'CO '!B1734+'VT '!B329</f>
        <v>207396711.93613824</v>
      </c>
      <c r="E59" s="369">
        <f t="shared" si="22"/>
        <v>724439.78232906584</v>
      </c>
      <c r="F59" s="367">
        <f t="shared" si="23"/>
        <v>59621598.750309512</v>
      </c>
      <c r="G59" s="371">
        <f t="shared" si="25"/>
        <v>204876711.93613824</v>
      </c>
      <c r="H59" s="371">
        <f t="shared" si="24"/>
        <v>58897158.967980444</v>
      </c>
      <c r="I59" s="371">
        <f t="shared" si="18"/>
        <v>1147803171.2984059</v>
      </c>
      <c r="J59" s="370">
        <f t="shared" si="19"/>
        <v>269982702.63967991</v>
      </c>
      <c r="K59" s="95">
        <f t="shared" si="14"/>
        <v>0.28747610409883567</v>
      </c>
      <c r="L59" s="550">
        <f>'CO '!H1734+'VT '!E329</f>
        <v>148834998.27327901</v>
      </c>
      <c r="M59" s="95">
        <f t="shared" si="20"/>
        <v>42786505.457159184</v>
      </c>
      <c r="N59" s="95">
        <f t="shared" si="15"/>
        <v>724439.78232906584</v>
      </c>
      <c r="O59" s="95">
        <f t="shared" si="16"/>
        <v>570983.0615628917</v>
      </c>
    </row>
    <row r="60" spans="1:15" x14ac:dyDescent="0.25">
      <c r="A60" s="95">
        <v>12</v>
      </c>
      <c r="B60" s="95">
        <f t="shared" si="17"/>
        <v>2025</v>
      </c>
      <c r="C60" s="367">
        <f t="shared" si="21"/>
        <v>2520000</v>
      </c>
      <c r="D60" s="368">
        <f>'CO '!B1735+'VT '!B330</f>
        <v>421541223.59909022</v>
      </c>
      <c r="E60" s="369">
        <f t="shared" si="22"/>
        <v>646821.23422238033</v>
      </c>
      <c r="F60" s="367">
        <f t="shared" si="23"/>
        <v>108199132.74760951</v>
      </c>
      <c r="G60" s="371">
        <f t="shared" si="25"/>
        <v>419021223.59909022</v>
      </c>
      <c r="H60" s="371">
        <f t="shared" si="24"/>
        <v>107552311.51338713</v>
      </c>
      <c r="I60" s="371">
        <f t="shared" si="18"/>
        <v>1566824394.8974962</v>
      </c>
      <c r="J60" s="370">
        <f t="shared" si="19"/>
        <v>377535014.15306705</v>
      </c>
      <c r="K60" s="95">
        <f t="shared" si="14"/>
        <v>0.25667509294538904</v>
      </c>
      <c r="L60" s="550">
        <f>'CO '!H1735+'VT '!E330</f>
        <v>206341654.66400003</v>
      </c>
      <c r="M60" s="95">
        <f t="shared" si="20"/>
        <v>52962763.389387578</v>
      </c>
      <c r="N60" s="95">
        <f t="shared" si="15"/>
        <v>646821.23422238033</v>
      </c>
      <c r="O60" s="95">
        <f t="shared" si="16"/>
        <v>509806.30496686773</v>
      </c>
    </row>
    <row r="61" spans="1:15" x14ac:dyDescent="0.25">
      <c r="A61" s="95">
        <v>13</v>
      </c>
      <c r="B61" s="95">
        <f t="shared" si="17"/>
        <v>2026</v>
      </c>
      <c r="C61" s="367">
        <f t="shared" si="21"/>
        <v>8750000</v>
      </c>
      <c r="D61" s="368">
        <f>'CO '!B1736+'VT '!B331</f>
        <v>433285214.1995548</v>
      </c>
      <c r="E61" s="369">
        <f t="shared" si="22"/>
        <v>2005274.1636358513</v>
      </c>
      <c r="F61" s="367">
        <f t="shared" si="23"/>
        <v>99297788.05940491</v>
      </c>
      <c r="G61" s="371">
        <f t="shared" si="25"/>
        <v>424535214.1995548</v>
      </c>
      <c r="H61" s="371">
        <f t="shared" si="24"/>
        <v>97292513.89576906</v>
      </c>
      <c r="I61" s="371">
        <f t="shared" si="18"/>
        <v>1991359609.0970511</v>
      </c>
      <c r="J61" s="370">
        <f t="shared" si="19"/>
        <v>474827528.04883611</v>
      </c>
      <c r="K61" s="95">
        <f t="shared" si="14"/>
        <v>0.22917419012981158</v>
      </c>
      <c r="L61" s="550">
        <f>'CO '!H1736+'VT '!E331</f>
        <v>211629658.19641194</v>
      </c>
      <c r="M61" s="95">
        <f t="shared" si="20"/>
        <v>48500055.524611548</v>
      </c>
      <c r="N61" s="95">
        <f t="shared" si="15"/>
        <v>2005274.1636358513</v>
      </c>
      <c r="O61" s="95">
        <f t="shared" si="16"/>
        <v>455184.20086327463</v>
      </c>
    </row>
    <row r="62" spans="1:15" x14ac:dyDescent="0.25">
      <c r="A62" s="95">
        <v>14</v>
      </c>
      <c r="B62" s="95">
        <f t="shared" si="17"/>
        <v>2027</v>
      </c>
      <c r="C62" s="367">
        <f t="shared" si="21"/>
        <v>2520000</v>
      </c>
      <c r="D62" s="368">
        <f>'CO '!B1737+'VT '!B332</f>
        <v>376697089.63516462</v>
      </c>
      <c r="E62" s="369">
        <f t="shared" si="22"/>
        <v>515641.92779207602</v>
      </c>
      <c r="F62" s="367">
        <f t="shared" si="23"/>
        <v>77079687.894103467</v>
      </c>
      <c r="G62" s="371">
        <f t="shared" si="25"/>
        <v>374177089.63516462</v>
      </c>
      <c r="H62" s="371">
        <f t="shared" si="24"/>
        <v>76564045.966311395</v>
      </c>
      <c r="I62" s="371">
        <f t="shared" si="18"/>
        <v>2365536698.7322159</v>
      </c>
      <c r="J62" s="370">
        <f t="shared" si="19"/>
        <v>551391574.01514745</v>
      </c>
      <c r="K62" s="95">
        <f t="shared" si="14"/>
        <v>0.20461981261590317</v>
      </c>
      <c r="L62" s="550">
        <f>'CO '!H1737+'VT '!E332</f>
        <v>217012497.05251837</v>
      </c>
      <c r="M62" s="95">
        <f t="shared" si="20"/>
        <v>44405056.482195549</v>
      </c>
      <c r="N62" s="95">
        <f t="shared" si="15"/>
        <v>515641.92779207602</v>
      </c>
      <c r="O62" s="95">
        <f t="shared" si="16"/>
        <v>406414.46505649516</v>
      </c>
    </row>
    <row r="63" spans="1:15" x14ac:dyDescent="0.25">
      <c r="A63" s="95">
        <v>15</v>
      </c>
      <c r="B63" s="95">
        <f t="shared" si="17"/>
        <v>2028</v>
      </c>
      <c r="C63" s="367">
        <f t="shared" si="21"/>
        <v>2520000</v>
      </c>
      <c r="D63" s="368">
        <f>'CO '!B1738+'VT '!B333</f>
        <v>386963302.5161916</v>
      </c>
      <c r="E63" s="369">
        <f t="shared" si="22"/>
        <v>460394.57838578214</v>
      </c>
      <c r="F63" s="367">
        <f t="shared" si="23"/>
        <v>70696748.61615552</v>
      </c>
      <c r="G63" s="371">
        <f t="shared" si="25"/>
        <v>384443302.5161916</v>
      </c>
      <c r="H63" s="371">
        <f t="shared" si="24"/>
        <v>70236354.037769735</v>
      </c>
      <c r="I63" s="371">
        <f t="shared" si="18"/>
        <v>2749980001.2484074</v>
      </c>
      <c r="J63" s="370">
        <f t="shared" si="19"/>
        <v>621627928.05291724</v>
      </c>
      <c r="K63" s="95">
        <f t="shared" si="14"/>
        <v>0.18269626126419927</v>
      </c>
      <c r="L63" s="550">
        <f>'CO '!H1738+'VT '!E333</f>
        <v>222488172.15606615</v>
      </c>
      <c r="M63" s="95">
        <f t="shared" si="20"/>
        <v>40647757.228418805</v>
      </c>
      <c r="N63" s="95">
        <f t="shared" si="15"/>
        <v>460394.57838578214</v>
      </c>
      <c r="O63" s="95">
        <f t="shared" si="16"/>
        <v>362870.05808615638</v>
      </c>
    </row>
    <row r="64" spans="1:15" x14ac:dyDescent="0.25">
      <c r="A64" s="95">
        <v>16</v>
      </c>
      <c r="B64" s="95">
        <f t="shared" si="17"/>
        <v>2029</v>
      </c>
      <c r="C64" s="367">
        <f t="shared" si="21"/>
        <v>2520000</v>
      </c>
      <c r="D64" s="368">
        <f>'CO '!B1739+'VT '!B334</f>
        <v>397878622.34165764</v>
      </c>
      <c r="E64" s="369">
        <f>C64*K64</f>
        <v>411066.58784444828</v>
      </c>
      <c r="F64" s="367">
        <f t="shared" si="23"/>
        <v>64902622.088188522</v>
      </c>
      <c r="G64" s="371">
        <f t="shared" si="25"/>
        <v>395358622.34165764</v>
      </c>
      <c r="H64" s="371">
        <f t="shared" si="24"/>
        <v>64491555.500344075</v>
      </c>
      <c r="I64" s="371">
        <f t="shared" si="18"/>
        <v>3145338623.590065</v>
      </c>
      <c r="J64" s="370">
        <f t="shared" si="19"/>
        <v>686119483.55326128</v>
      </c>
      <c r="K64" s="95">
        <f t="shared" si="14"/>
        <v>0.16312166184303503</v>
      </c>
      <c r="L64" s="550">
        <f>'CO '!H1739+'VT '!E334</f>
        <v>228469238.07072821</v>
      </c>
      <c r="M64" s="95">
        <f t="shared" si="20"/>
        <v>37268281.794109195</v>
      </c>
      <c r="N64" s="95">
        <f t="shared" si="15"/>
        <v>411066.58784444828</v>
      </c>
      <c r="O64" s="95">
        <f t="shared" si="16"/>
        <v>323991.12329121103</v>
      </c>
    </row>
    <row r="65" spans="1:15" x14ac:dyDescent="0.25">
      <c r="A65" s="95">
        <v>17</v>
      </c>
      <c r="B65" s="95">
        <f t="shared" si="17"/>
        <v>2030</v>
      </c>
      <c r="C65" s="367">
        <f t="shared" si="21"/>
        <v>176750000</v>
      </c>
      <c r="D65" s="368">
        <f>'CO '!B1740+'VT '!B335</f>
        <v>408644190.16112113</v>
      </c>
      <c r="E65" s="369">
        <f t="shared" ref="E65:E78" si="26">C65*K65</f>
        <v>25742637.259603966</v>
      </c>
      <c r="F65" s="367">
        <f t="shared" si="23"/>
        <v>59516713.751413666</v>
      </c>
      <c r="G65" s="371">
        <f t="shared" si="25"/>
        <v>231894190.16112113</v>
      </c>
      <c r="H65" s="371">
        <f t="shared" si="24"/>
        <v>33774076.491809696</v>
      </c>
      <c r="I65" s="371">
        <f t="shared" si="18"/>
        <v>3377232813.7511864</v>
      </c>
      <c r="J65" s="371">
        <f t="shared" si="19"/>
        <v>719893560.04507101</v>
      </c>
      <c r="K65" s="95">
        <f t="shared" si="14"/>
        <v>0.14564434093128129</v>
      </c>
      <c r="L65" s="550">
        <f>'CO '!H1740+'VT '!E335</f>
        <v>234152524.36206415</v>
      </c>
      <c r="M65" s="95">
        <f t="shared" si="20"/>
        <v>34102990.088108622</v>
      </c>
      <c r="N65" s="95">
        <f t="shared" si="15"/>
        <v>25742637.259603966</v>
      </c>
      <c r="O65" s="95">
        <f t="shared" si="16"/>
        <v>289277.78865286696</v>
      </c>
    </row>
    <row r="66" spans="1:15" x14ac:dyDescent="0.25">
      <c r="A66" s="95">
        <v>18</v>
      </c>
      <c r="B66" s="95">
        <f t="shared" si="17"/>
        <v>2031</v>
      </c>
      <c r="C66" s="367">
        <f t="shared" si="21"/>
        <v>2520000</v>
      </c>
      <c r="D66" s="368">
        <f>'CO '!B1741+'VT '!B336</f>
        <v>419648389.29850841</v>
      </c>
      <c r="E66" s="369">
        <f t="shared" si="26"/>
        <v>327699.76709538285</v>
      </c>
      <c r="F66" s="367">
        <f t="shared" si="23"/>
        <v>54570904.537727684</v>
      </c>
      <c r="G66" s="371">
        <f>D66-C66</f>
        <v>417128389.29850841</v>
      </c>
      <c r="H66" s="371">
        <f t="shared" si="24"/>
        <v>54243204.770632304</v>
      </c>
      <c r="I66" s="371">
        <f t="shared" si="18"/>
        <v>3794361203.049695</v>
      </c>
      <c r="J66" s="371">
        <f t="shared" si="19"/>
        <v>774136764.81570327</v>
      </c>
      <c r="K66" s="95">
        <f t="shared" si="14"/>
        <v>0.13003959011721541</v>
      </c>
      <c r="L66" s="550">
        <f>'CO '!H1741+'VT '!E336</f>
        <v>239921973.5254795</v>
      </c>
      <c r="M66" s="95">
        <f t="shared" si="20"/>
        <v>31199355.097366761</v>
      </c>
      <c r="N66" s="95">
        <f t="shared" si="15"/>
        <v>327699.76709538285</v>
      </c>
      <c r="O66" s="95">
        <f t="shared" si="16"/>
        <v>258283.73986863121</v>
      </c>
    </row>
    <row r="67" spans="1:15" x14ac:dyDescent="0.25">
      <c r="A67" s="95">
        <v>19</v>
      </c>
      <c r="B67" s="95">
        <f t="shared" si="17"/>
        <v>2032</v>
      </c>
      <c r="C67" s="367">
        <f t="shared" si="21"/>
        <v>2520000</v>
      </c>
      <c r="D67" s="368">
        <f>'CO '!B1742+'VT '!B337</f>
        <v>428491011.35908353</v>
      </c>
      <c r="E67" s="369">
        <f t="shared" si="26"/>
        <v>292589.07776373468</v>
      </c>
      <c r="F67" s="367">
        <f t="shared" si="23"/>
        <v>49750710.255398497</v>
      </c>
      <c r="G67" s="371">
        <f t="shared" ref="G67:G78" si="27">D67-C67</f>
        <v>425971011.35908353</v>
      </c>
      <c r="H67" s="371">
        <f t="shared" si="24"/>
        <v>49458121.177634761</v>
      </c>
      <c r="I67" s="371">
        <f t="shared" si="18"/>
        <v>4220332214.4087787</v>
      </c>
      <c r="J67" s="371">
        <f t="shared" si="19"/>
        <v>823594885.99333799</v>
      </c>
      <c r="K67" s="95">
        <f t="shared" si="14"/>
        <v>0.1161067768903709</v>
      </c>
      <c r="L67" s="550">
        <f>'CO '!H1742+'VT '!E337</f>
        <v>245773596.90924841</v>
      </c>
      <c r="M67" s="95">
        <f t="shared" si="20"/>
        <v>28535980.181886055</v>
      </c>
      <c r="N67" s="95">
        <f t="shared" si="15"/>
        <v>292589.07776373468</v>
      </c>
      <c r="O67" s="95">
        <f t="shared" si="16"/>
        <v>230610.48202556354</v>
      </c>
    </row>
    <row r="68" spans="1:15" x14ac:dyDescent="0.25">
      <c r="A68" s="95">
        <v>20</v>
      </c>
      <c r="B68" s="95">
        <f t="shared" si="17"/>
        <v>2033</v>
      </c>
      <c r="C68" s="367">
        <f t="shared" si="21"/>
        <v>2520000</v>
      </c>
      <c r="D68" s="368">
        <f>'CO '!B1743+'VT '!B338</f>
        <v>439901655.10845494</v>
      </c>
      <c r="E68" s="369">
        <f t="shared" si="26"/>
        <v>261240.24800333451</v>
      </c>
      <c r="F68" s="367">
        <f t="shared" si="23"/>
        <v>45603181.53873416</v>
      </c>
      <c r="G68" s="371">
        <f t="shared" si="27"/>
        <v>437381655.10845494</v>
      </c>
      <c r="H68" s="371">
        <f t="shared" si="24"/>
        <v>45341941.290730827</v>
      </c>
      <c r="I68" s="371">
        <f t="shared" si="18"/>
        <v>4657713869.5172338</v>
      </c>
      <c r="J68" s="371">
        <f t="shared" si="19"/>
        <v>868936827.28406882</v>
      </c>
      <c r="K68" s="95">
        <f t="shared" si="14"/>
        <v>0.1036667650806883</v>
      </c>
      <c r="L68" s="550">
        <f>'CO '!H1743+'VT '!E338</f>
        <v>251702718.22512504</v>
      </c>
      <c r="M68" s="95">
        <f t="shared" si="20"/>
        <v>26093206.56041472</v>
      </c>
      <c r="N68" s="95">
        <f t="shared" si="15"/>
        <v>261240.24800333451</v>
      </c>
      <c r="O68" s="95">
        <f t="shared" si="16"/>
        <v>205902.21609425318</v>
      </c>
    </row>
    <row r="69" spans="1:15" x14ac:dyDescent="0.25">
      <c r="A69" s="95">
        <v>21</v>
      </c>
      <c r="B69" s="95">
        <f t="shared" si="17"/>
        <v>2034</v>
      </c>
      <c r="C69" s="367">
        <f t="shared" si="21"/>
        <v>8750000</v>
      </c>
      <c r="D69" s="368">
        <f>'CO '!B1744+'VT '!B339</f>
        <v>451548802.38249445</v>
      </c>
      <c r="E69" s="369">
        <f t="shared" si="26"/>
        <v>809896.60219287721</v>
      </c>
      <c r="F69" s="367">
        <f t="shared" si="23"/>
        <v>41795181.802725174</v>
      </c>
      <c r="G69" s="371">
        <f t="shared" si="27"/>
        <v>442798802.38249445</v>
      </c>
      <c r="H69" s="371">
        <f t="shared" si="24"/>
        <v>40985285.200532295</v>
      </c>
      <c r="I69" s="371">
        <f t="shared" si="18"/>
        <v>5100512671.8997288</v>
      </c>
      <c r="J69" s="371">
        <f t="shared" si="19"/>
        <v>909922112.48460114</v>
      </c>
      <c r="K69" s="95">
        <f t="shared" si="14"/>
        <v>9.2559611679185971E-2</v>
      </c>
      <c r="L69" s="550">
        <f>'CO '!H1744+'VT '!E339</f>
        <v>257703897.39266446</v>
      </c>
      <c r="M69" s="95">
        <f t="shared" si="20"/>
        <v>23852972.670877811</v>
      </c>
      <c r="N69" s="95">
        <f t="shared" si="15"/>
        <v>809896.60219287721</v>
      </c>
      <c r="O69" s="95">
        <f t="shared" si="16"/>
        <v>183841.26436986888</v>
      </c>
    </row>
    <row r="70" spans="1:15" x14ac:dyDescent="0.25">
      <c r="A70" s="95">
        <v>22</v>
      </c>
      <c r="B70" s="95">
        <f t="shared" si="17"/>
        <v>2035</v>
      </c>
      <c r="C70" s="367">
        <f t="shared" si="21"/>
        <v>2520000</v>
      </c>
      <c r="D70" s="368">
        <f>'CO '!B1745+'VT '!B340</f>
        <v>463431098.02400529</v>
      </c>
      <c r="E70" s="369">
        <f t="shared" si="26"/>
        <v>208259.12627816841</v>
      </c>
      <c r="F70" s="367">
        <f t="shared" si="23"/>
        <v>38299109.351036333</v>
      </c>
      <c r="G70" s="371">
        <f t="shared" si="27"/>
        <v>460911098.02400529</v>
      </c>
      <c r="H70" s="371">
        <f t="shared" si="24"/>
        <v>38090850.224758163</v>
      </c>
      <c r="I70" s="371">
        <f t="shared" si="18"/>
        <v>5561423769.9237337</v>
      </c>
      <c r="J70" s="371">
        <f t="shared" si="19"/>
        <v>948012962.70935929</v>
      </c>
      <c r="K70" s="95">
        <f t="shared" si="14"/>
        <v>8.2642510427844609E-2</v>
      </c>
      <c r="L70" s="550">
        <f>'CO '!H1745+'VT '!E340</f>
        <v>263770845.88448036</v>
      </c>
      <c r="M70" s="95">
        <f t="shared" si="20"/>
        <v>21798684.881569561</v>
      </c>
      <c r="N70" s="95">
        <f t="shared" si="15"/>
        <v>208259.12627816841</v>
      </c>
      <c r="O70" s="95">
        <f t="shared" si="16"/>
        <v>164143.98604452578</v>
      </c>
    </row>
    <row r="71" spans="1:15" x14ac:dyDescent="0.25">
      <c r="A71" s="95">
        <v>23</v>
      </c>
      <c r="B71" s="95">
        <f t="shared" si="17"/>
        <v>2036</v>
      </c>
      <c r="C71" s="367">
        <f t="shared" si="21"/>
        <v>2520000</v>
      </c>
      <c r="D71" s="368">
        <f>'CO '!B1746+'VT '!B341</f>
        <v>475546392.22356641</v>
      </c>
      <c r="E71" s="369">
        <f t="shared" si="26"/>
        <v>185945.6484626504</v>
      </c>
      <c r="F71" s="367">
        <f t="shared" si="23"/>
        <v>35089596.141303547</v>
      </c>
      <c r="G71" s="371">
        <f t="shared" si="27"/>
        <v>473026392.22356641</v>
      </c>
      <c r="H71" s="371">
        <f t="shared" si="24"/>
        <v>34903650.492840894</v>
      </c>
      <c r="I71" s="371">
        <f t="shared" si="18"/>
        <v>6034450162.1472998</v>
      </c>
      <c r="J71" s="371">
        <f t="shared" si="19"/>
        <v>982916613.20220017</v>
      </c>
      <c r="K71" s="95">
        <f t="shared" si="14"/>
        <v>7.3787955739146982E-2</v>
      </c>
      <c r="L71" s="550">
        <f>'CO '!H1746+'VT '!E341</f>
        <v>269896332.51985574</v>
      </c>
      <c r="M71" s="95">
        <f t="shared" si="20"/>
        <v>19915098.638133213</v>
      </c>
      <c r="N71" s="95">
        <f t="shared" si="15"/>
        <v>185945.6484626504</v>
      </c>
      <c r="O71" s="95">
        <f t="shared" si="16"/>
        <v>146557.13039689802</v>
      </c>
    </row>
    <row r="72" spans="1:15" x14ac:dyDescent="0.25">
      <c r="A72" s="95">
        <v>24</v>
      </c>
      <c r="B72" s="95">
        <f t="shared" si="17"/>
        <v>2037</v>
      </c>
      <c r="C72" s="367">
        <f t="shared" si="21"/>
        <v>2520000</v>
      </c>
      <c r="D72" s="368">
        <f>'CO '!B1747+'VT '!B342</f>
        <v>487891640.00054669</v>
      </c>
      <c r="E72" s="369">
        <f t="shared" si="26"/>
        <v>166022.90041308067</v>
      </c>
      <c r="F72" s="367">
        <f t="shared" si="23"/>
        <v>32143327.444518007</v>
      </c>
      <c r="G72" s="371">
        <f t="shared" si="27"/>
        <v>485371640.00054669</v>
      </c>
      <c r="H72" s="371">
        <f t="shared" si="24"/>
        <v>31977304.544104926</v>
      </c>
      <c r="I72" s="371">
        <f t="shared" si="18"/>
        <v>6519821802.1478462</v>
      </c>
      <c r="J72" s="371">
        <f t="shared" si="19"/>
        <v>1014893917.7463051</v>
      </c>
      <c r="K72" s="95">
        <f t="shared" si="14"/>
        <v>6.5882103338524081E-2</v>
      </c>
      <c r="L72" s="550">
        <f>'CO '!H1747+'VT '!E342</f>
        <v>276072078.50572491</v>
      </c>
      <c r="M72" s="95">
        <f t="shared" si="20"/>
        <v>18188209.204995301</v>
      </c>
      <c r="N72" s="95">
        <f t="shared" si="15"/>
        <v>166022.90041308067</v>
      </c>
      <c r="O72" s="95">
        <f t="shared" si="16"/>
        <v>130854.58071151607</v>
      </c>
    </row>
    <row r="73" spans="1:15" x14ac:dyDescent="0.25">
      <c r="A73" s="95">
        <v>25</v>
      </c>
      <c r="B73" s="95">
        <f t="shared" si="17"/>
        <v>2038</v>
      </c>
      <c r="C73" s="367">
        <f t="shared" si="21"/>
        <v>43750000</v>
      </c>
      <c r="D73" s="368">
        <f>'CO '!B1748+'VT '!B343</f>
        <v>500462788.69152665</v>
      </c>
      <c r="E73" s="369">
        <f t="shared" si="26"/>
        <v>2573519.6616610968</v>
      </c>
      <c r="F73" s="367">
        <f t="shared" ref="F73:F79" si="28">D73*K73</f>
        <v>29438876.037197407</v>
      </c>
      <c r="G73" s="371">
        <f t="shared" si="27"/>
        <v>456712788.69152665</v>
      </c>
      <c r="H73" s="371">
        <f t="shared" si="24"/>
        <v>26865356.375536311</v>
      </c>
      <c r="I73" s="371">
        <f t="shared" si="18"/>
        <v>6976534590.8393726</v>
      </c>
      <c r="J73" s="371">
        <f t="shared" si="19"/>
        <v>1041759274.1218414</v>
      </c>
      <c r="K73" s="95">
        <f t="shared" si="14"/>
        <v>5.8823306552253637E-2</v>
      </c>
      <c r="L73" s="550">
        <f>'CO '!H1748+'VT '!E343</f>
        <v>282288640.35186005</v>
      </c>
      <c r="M73" s="95">
        <f t="shared" si="20"/>
        <v>16605151.227636339</v>
      </c>
      <c r="N73" s="95">
        <f t="shared" si="15"/>
        <v>2573519.6616610968</v>
      </c>
      <c r="O73" s="95">
        <f t="shared" si="16"/>
        <v>116834.44706385363</v>
      </c>
    </row>
    <row r="74" spans="1:15" x14ac:dyDescent="0.25">
      <c r="A74" s="95">
        <v>26</v>
      </c>
      <c r="B74" s="95">
        <f t="shared" si="17"/>
        <v>2039</v>
      </c>
      <c r="C74" s="367">
        <f t="shared" si="21"/>
        <v>2520000</v>
      </c>
      <c r="D74" s="368">
        <f>'CO '!B1749+'VT '!B344</f>
        <v>514078627.41055143</v>
      </c>
      <c r="E74" s="369">
        <f t="shared" si="26"/>
        <v>132352.43974257068</v>
      </c>
      <c r="F74" s="367">
        <f t="shared" si="28"/>
        <v>26999825.617975578</v>
      </c>
      <c r="G74" s="371">
        <f t="shared" si="27"/>
        <v>511558627.41055143</v>
      </c>
      <c r="H74" s="371">
        <f t="shared" si="24"/>
        <v>26867473.178233009</v>
      </c>
      <c r="I74" s="371">
        <f t="shared" si="18"/>
        <v>7488093218.2499237</v>
      </c>
      <c r="J74" s="371">
        <f t="shared" si="19"/>
        <v>1068626747.3000745</v>
      </c>
      <c r="K74" s="95">
        <f t="shared" si="14"/>
        <v>5.2520809421655032E-2</v>
      </c>
      <c r="L74" s="550">
        <f>'CO '!H1749+'VT '!E344</f>
        <v>289359254.62069458</v>
      </c>
      <c r="M74" s="95">
        <f t="shared" si="20"/>
        <v>15197382.266325653</v>
      </c>
      <c r="N74" s="95">
        <f t="shared" si="15"/>
        <v>132352.43974257068</v>
      </c>
      <c r="O74" s="95">
        <f t="shared" si="16"/>
        <v>104316.47059272644</v>
      </c>
    </row>
    <row r="75" spans="1:15" x14ac:dyDescent="0.25">
      <c r="A75" s="95">
        <v>27</v>
      </c>
      <c r="B75" s="95">
        <f t="shared" si="17"/>
        <v>2040</v>
      </c>
      <c r="C75" s="367">
        <f t="shared" si="21"/>
        <v>2520000</v>
      </c>
      <c r="D75" s="368">
        <f>'CO '!B1750+'VT '!B345</f>
        <v>527147746.64852595</v>
      </c>
      <c r="E75" s="369">
        <f t="shared" si="26"/>
        <v>118171.8211987238</v>
      </c>
      <c r="F75" s="367">
        <f t="shared" si="28"/>
        <v>24719844.945341177</v>
      </c>
      <c r="G75" s="371">
        <f t="shared" si="27"/>
        <v>524627746.64852595</v>
      </c>
      <c r="H75" s="371">
        <f t="shared" si="24"/>
        <v>24601673.124142453</v>
      </c>
      <c r="I75" s="371">
        <f t="shared" si="18"/>
        <v>8012720964.8984499</v>
      </c>
      <c r="J75" s="371">
        <f t="shared" si="19"/>
        <v>1093228420.424217</v>
      </c>
      <c r="K75" s="95">
        <f t="shared" si="14"/>
        <v>4.6893579840763415E-2</v>
      </c>
      <c r="L75" s="550">
        <f>'CO '!H1750+'VT '!E345</f>
        <v>295686792.67497337</v>
      </c>
      <c r="M75" s="95">
        <f t="shared" si="20"/>
        <v>13865812.220163122</v>
      </c>
      <c r="N75" s="95">
        <f t="shared" si="15"/>
        <v>118171.8211987238</v>
      </c>
      <c r="O75" s="95">
        <f t="shared" si="16"/>
        <v>93139.705886362892</v>
      </c>
    </row>
    <row r="76" spans="1:15" x14ac:dyDescent="0.25">
      <c r="A76" s="95">
        <v>28</v>
      </c>
      <c r="B76" s="95">
        <f t="shared" si="17"/>
        <v>2041</v>
      </c>
      <c r="C76" s="367">
        <f t="shared" si="21"/>
        <v>2520000</v>
      </c>
      <c r="D76" s="368">
        <f>'CO '!B1751+'VT '!B346</f>
        <v>537172439.70469642</v>
      </c>
      <c r="E76" s="369">
        <f t="shared" si="26"/>
        <v>105510.5546417177</v>
      </c>
      <c r="F76" s="367">
        <f t="shared" si="28"/>
        <v>22491016.687098086</v>
      </c>
      <c r="G76" s="371">
        <f t="shared" si="27"/>
        <v>534652439.70469642</v>
      </c>
      <c r="H76" s="371">
        <f t="shared" si="24"/>
        <v>22385506.13245637</v>
      </c>
      <c r="I76" s="371">
        <f t="shared" si="18"/>
        <v>8547373404.6031466</v>
      </c>
      <c r="J76" s="371">
        <f t="shared" si="19"/>
        <v>1115613926.5566733</v>
      </c>
      <c r="K76" s="95">
        <f t="shared" si="14"/>
        <v>4.1869267714967337E-2</v>
      </c>
      <c r="L76" s="550">
        <f>'CO '!H1751+'VT '!E346</f>
        <v>302023781.770208</v>
      </c>
      <c r="M76" s="95">
        <f t="shared" si="20"/>
        <v>12645514.57522371</v>
      </c>
      <c r="N76" s="95">
        <f t="shared" si="15"/>
        <v>105510.5546417177</v>
      </c>
      <c r="O76" s="95">
        <f t="shared" si="16"/>
        <v>83160.451684252577</v>
      </c>
    </row>
    <row r="77" spans="1:15" x14ac:dyDescent="0.25">
      <c r="A77" s="95">
        <v>29</v>
      </c>
      <c r="B77" s="95">
        <f t="shared" si="17"/>
        <v>2042</v>
      </c>
      <c r="C77" s="544">
        <f t="shared" si="21"/>
        <v>8750000</v>
      </c>
      <c r="D77" s="368">
        <f>'CO '!B1752+'VT '!B347</f>
        <v>550558278.93094718</v>
      </c>
      <c r="E77" s="371">
        <f t="shared" si="26"/>
        <v>327103.65402318229</v>
      </c>
      <c r="F77" s="544">
        <f t="shared" si="28"/>
        <v>20581671.404688828</v>
      </c>
      <c r="G77" s="371">
        <f t="shared" si="27"/>
        <v>541808278.93094718</v>
      </c>
      <c r="H77" s="371">
        <f t="shared" si="24"/>
        <v>20254567.750665646</v>
      </c>
      <c r="I77" s="371">
        <f t="shared" si="18"/>
        <v>9089181683.5340939</v>
      </c>
      <c r="J77" s="371">
        <f t="shared" si="19"/>
        <v>1135868494.307339</v>
      </c>
      <c r="K77" s="95">
        <f t="shared" si="14"/>
        <v>3.7383274745506546E-2</v>
      </c>
      <c r="L77" s="550">
        <f>'CO '!H1752+'VT '!E347</f>
        <v>308355161.25842428</v>
      </c>
      <c r="M77" s="95">
        <f t="shared" si="20"/>
        <v>11527325.712518651</v>
      </c>
      <c r="N77" s="95">
        <f t="shared" si="15"/>
        <v>327103.65402318229</v>
      </c>
      <c r="O77" s="95">
        <f t="shared" si="16"/>
        <v>74250.403289511232</v>
      </c>
    </row>
    <row r="78" spans="1:15" x14ac:dyDescent="0.25">
      <c r="A78" s="95">
        <v>30</v>
      </c>
      <c r="B78" s="95">
        <f t="shared" si="17"/>
        <v>2043</v>
      </c>
      <c r="C78" s="544">
        <f t="shared" si="21"/>
        <v>2520000</v>
      </c>
      <c r="D78" s="368">
        <f>'CO '!B1753+'VT '!B348</f>
        <v>564133143.11150837</v>
      </c>
      <c r="E78" s="371">
        <f t="shared" si="26"/>
        <v>84112.368177389711</v>
      </c>
      <c r="F78" s="544">
        <f t="shared" si="28"/>
        <v>18829593.108913999</v>
      </c>
      <c r="G78" s="371">
        <f t="shared" si="27"/>
        <v>561613143.11150837</v>
      </c>
      <c r="H78" s="371">
        <f t="shared" si="24"/>
        <v>18745480.740736611</v>
      </c>
      <c r="I78" s="371">
        <f t="shared" si="18"/>
        <v>9650794826.6456032</v>
      </c>
      <c r="J78" s="371">
        <f t="shared" si="19"/>
        <v>1154613975.0480757</v>
      </c>
      <c r="K78" s="95">
        <f t="shared" si="14"/>
        <v>3.3377923879916553E-2</v>
      </c>
      <c r="L78" s="550">
        <f>'CO '!H1753+'VT '!E348</f>
        <v>314663931.90880972</v>
      </c>
      <c r="M78" s="95">
        <f t="shared" si="20"/>
        <v>10502828.767007496</v>
      </c>
      <c r="N78" s="95">
        <f t="shared" si="15"/>
        <v>84112.368177389711</v>
      </c>
      <c r="O78" s="95">
        <f t="shared" si="16"/>
        <v>66295.002937063589</v>
      </c>
    </row>
    <row r="79" spans="1:15" x14ac:dyDescent="0.25">
      <c r="A79" s="95">
        <v>31</v>
      </c>
      <c r="B79" s="95">
        <f t="shared" si="17"/>
        <v>2044</v>
      </c>
      <c r="C79" s="544">
        <f t="shared" si="21"/>
        <v>2520000</v>
      </c>
      <c r="D79" s="368">
        <f>'CO '!B1754+'VT '!B349</f>
        <v>577884218.31728828</v>
      </c>
      <c r="E79" s="371">
        <f>C79*K79</f>
        <v>75100.32872981226</v>
      </c>
      <c r="F79" s="544">
        <f t="shared" si="28"/>
        <v>17221942.366428152</v>
      </c>
      <c r="G79" s="371">
        <f>D79-C79</f>
        <v>575364218.31728828</v>
      </c>
      <c r="H79" s="371">
        <f>F79-E79</f>
        <v>17146842.03769834</v>
      </c>
      <c r="I79" s="371">
        <f>I78+G79</f>
        <v>10226159044.962891</v>
      </c>
      <c r="J79" s="371">
        <f>J78+H79</f>
        <v>1171760817.0857739</v>
      </c>
      <c r="K79" s="95">
        <f t="shared" si="14"/>
        <v>2.9801717749925499E-2</v>
      </c>
      <c r="L79" s="550">
        <f>'CO '!H1754+'VT '!E349</f>
        <v>320930930.77850878</v>
      </c>
      <c r="M79" s="95">
        <f t="shared" si="20"/>
        <v>9564293.0162819959</v>
      </c>
      <c r="N79" s="95">
        <f t="shared" si="15"/>
        <v>75100.32872981226</v>
      </c>
      <c r="O79" s="95">
        <f t="shared" si="16"/>
        <v>59191.966908092494</v>
      </c>
    </row>
    <row r="80" spans="1:15" ht="15.75" thickBot="1" x14ac:dyDescent="0.3">
      <c r="A80" s="541"/>
      <c r="B80" s="542" t="s">
        <v>355</v>
      </c>
      <c r="C80" s="543">
        <f t="shared" ref="C80:H80" si="29">SUM(C48:C79)</f>
        <v>994710000</v>
      </c>
      <c r="D80" s="543">
        <f t="shared" si="29"/>
        <v>11220869044.962887</v>
      </c>
      <c r="E80" s="543">
        <f t="shared" si="29"/>
        <v>681297525.26205313</v>
      </c>
      <c r="F80" s="543">
        <f t="shared" si="29"/>
        <v>1853058342.3478262</v>
      </c>
      <c r="G80" s="543">
        <f t="shared" si="29"/>
        <v>10226159044.962891</v>
      </c>
      <c r="H80" s="543">
        <f t="shared" si="29"/>
        <v>1171760817.0857739</v>
      </c>
      <c r="I80" s="543"/>
      <c r="J80" s="375"/>
      <c r="L80">
        <f>SUM(L48:L79)</f>
        <v>6572580033.8728313</v>
      </c>
      <c r="M80" s="558">
        <f t="shared" ref="M80" si="30">SUM(M50:M79)</f>
        <v>1175101219.9866276</v>
      </c>
      <c r="N80" s="558">
        <f>SUM(N48:N79)</f>
        <v>681297525.26205313</v>
      </c>
      <c r="O80" s="558">
        <f>SUM(O50:O79)</f>
        <v>14284956.265349222</v>
      </c>
    </row>
    <row r="81" spans="1:25" x14ac:dyDescent="0.25">
      <c r="L81" s="506"/>
      <c r="M81" s="559"/>
      <c r="N81" s="560"/>
    </row>
    <row r="82" spans="1:25" x14ac:dyDescent="0.25">
      <c r="E82" t="s">
        <v>32</v>
      </c>
      <c r="F82" s="376">
        <f>H80</f>
        <v>1171760817.0857739</v>
      </c>
      <c r="G82">
        <f>F82/1000000</f>
        <v>1171.7608170857739</v>
      </c>
      <c r="H82" t="s">
        <v>356</v>
      </c>
      <c r="M82" s="70" t="s">
        <v>539</v>
      </c>
    </row>
    <row r="83" spans="1:25" x14ac:dyDescent="0.25">
      <c r="E83" s="377">
        <v>0.12</v>
      </c>
      <c r="F83" s="378" t="s">
        <v>34</v>
      </c>
      <c r="G83" s="392">
        <f>IRR(G48:G79)</f>
        <v>0.2605844035551379</v>
      </c>
      <c r="H83" s="389"/>
      <c r="M83" s="514" t="s">
        <v>524</v>
      </c>
      <c r="N83" s="514">
        <f>N80/O80</f>
        <v>47.693357445879272</v>
      </c>
    </row>
    <row r="84" spans="1:25" x14ac:dyDescent="0.25">
      <c r="F84" s="379" t="s">
        <v>35</v>
      </c>
      <c r="G84" s="390">
        <f>F80/E80</f>
        <v>2.7198958951671943</v>
      </c>
      <c r="M84" s="514" t="s">
        <v>525</v>
      </c>
      <c r="N84" s="514">
        <f>F80/O80</f>
        <v>129.72096714378878</v>
      </c>
    </row>
    <row r="85" spans="1:25" x14ac:dyDescent="0.25">
      <c r="F85" s="380" t="s">
        <v>36</v>
      </c>
      <c r="G85" s="391">
        <f>F50/E48</f>
        <v>0.30930194866499433</v>
      </c>
      <c r="M85" s="514" t="s">
        <v>526</v>
      </c>
      <c r="N85" s="514">
        <f>M80/O80</f>
        <v>82.2614503088855</v>
      </c>
    </row>
    <row r="86" spans="1:25" x14ac:dyDescent="0.25">
      <c r="F86" s="380" t="s">
        <v>38</v>
      </c>
      <c r="G86" s="388">
        <f>G85</f>
        <v>0.30930194866499433</v>
      </c>
      <c r="H86" s="108"/>
    </row>
    <row r="87" spans="1:25" x14ac:dyDescent="0.25">
      <c r="F87" s="380" t="s">
        <v>45</v>
      </c>
      <c r="G87" s="387">
        <f>IF(J48&gt;0,A48,IF(J49&gt;0,A49,IF(J50&gt;0,A50,IF(J51&gt;0,A51,IF(J52&gt;0,A52,IF(J53&gt;0,A53,IF(J54&gt;0,A54,IF(J55&gt;0,A55,IF(0&lt;J56,A56,IF(0&lt;J57,A57,IF(0&lt;J58,A58,IF(0&lt;J59,A59,IF(0&lt;J60,A60,IF(J61&gt;0,A61,IF(J62&gt;0,A62,IF(J63&gt;0,A63,IF(J64&gt;0,A64,IF(J65&gt;0,A65,IF(J66&gt;0,A66,IF(J67&gt;0,A67,IF(J68&gt;0,A68,IF(J69&gt;0,A69,IF(J70&gt;0,A70,IF(J71&gt;0,A71,IF(J72&gt;0,A72,IF(J73&gt;0,A73,IF(J74&gt;0,A74,IF(J75&gt;0,A75,IF(J76&gt;0,A76,IF(J77&gt;0,A77,IF(J78&gt;0,A78,"NO PASA LA EVALUACIÓN")))))))))))))))))))))))))))))))</f>
        <v>7</v>
      </c>
      <c r="M87" s="70" t="s">
        <v>538</v>
      </c>
    </row>
    <row r="88" spans="1:25" x14ac:dyDescent="0.25">
      <c r="F88" s="257"/>
      <c r="G88" s="510"/>
      <c r="M88" s="514" t="s">
        <v>524</v>
      </c>
      <c r="N88" s="514">
        <f>N83/'DATOS DE ENTRADA'!C23</f>
        <v>0.68133367779827536</v>
      </c>
    </row>
    <row r="89" spans="1:25" x14ac:dyDescent="0.25">
      <c r="M89" s="514" t="s">
        <v>525</v>
      </c>
      <c r="N89" s="514">
        <f>N84/'DATOS DE ENTRADA'!C23</f>
        <v>1.853156673482697</v>
      </c>
    </row>
    <row r="90" spans="1:25" x14ac:dyDescent="0.25">
      <c r="M90" s="514" t="s">
        <v>526</v>
      </c>
      <c r="N90" s="514">
        <f>N85/'DATOS DE ENTRADA'!C23</f>
        <v>1.1751635758412213</v>
      </c>
    </row>
    <row r="91" spans="1:25" ht="15.75" thickBot="1" x14ac:dyDescent="0.3"/>
    <row r="92" spans="1:25" ht="45.75" thickBot="1" x14ac:dyDescent="0.3">
      <c r="A92" s="361" t="s">
        <v>45</v>
      </c>
      <c r="B92" s="362" t="s">
        <v>18</v>
      </c>
      <c r="C92" s="363" t="s">
        <v>346</v>
      </c>
      <c r="D92" s="364" t="s">
        <v>347</v>
      </c>
      <c r="E92" s="363" t="s">
        <v>348</v>
      </c>
      <c r="F92" s="363" t="s">
        <v>349</v>
      </c>
      <c r="G92" s="363" t="s">
        <v>350</v>
      </c>
      <c r="H92" s="363" t="s">
        <v>351</v>
      </c>
      <c r="I92" s="363" t="s">
        <v>352</v>
      </c>
      <c r="J92" s="365" t="s">
        <v>353</v>
      </c>
      <c r="K92" s="366" t="s">
        <v>354</v>
      </c>
      <c r="L92" s="554" t="s">
        <v>535</v>
      </c>
      <c r="M92" s="552" t="s">
        <v>536</v>
      </c>
      <c r="N92" s="552" t="s">
        <v>537</v>
      </c>
      <c r="O92" s="552" t="s">
        <v>523</v>
      </c>
    </row>
    <row r="93" spans="1:25" x14ac:dyDescent="0.25">
      <c r="A93" s="162">
        <v>0</v>
      </c>
      <c r="B93" s="162">
        <v>2013</v>
      </c>
      <c r="C93" s="367">
        <f>'DATOS DE ENTRADA'!D21*'DATOS DE ENTRADA'!C22</f>
        <v>425000000</v>
      </c>
      <c r="D93" s="368">
        <v>0</v>
      </c>
      <c r="E93" s="369">
        <f>C93*K93</f>
        <v>425000000</v>
      </c>
      <c r="F93" s="367">
        <f>D93*K93</f>
        <v>0</v>
      </c>
      <c r="G93" s="369">
        <f t="shared" ref="G93:G98" si="31">D93-C93</f>
        <v>-425000000</v>
      </c>
      <c r="H93" s="369">
        <f>F93-E93</f>
        <v>-425000000</v>
      </c>
      <c r="I93" s="369">
        <f>G93</f>
        <v>-425000000</v>
      </c>
      <c r="J93" s="370">
        <f>H93</f>
        <v>-425000000</v>
      </c>
      <c r="K93" s="95">
        <f>1/(1+$E$36)^A93</f>
        <v>1</v>
      </c>
      <c r="L93" s="174"/>
      <c r="M93" s="95"/>
      <c r="N93" s="95">
        <f t="shared" ref="N93:N125" si="32">C93*K93</f>
        <v>425000000</v>
      </c>
      <c r="O93" s="95">
        <f>$J$204*365*K93</f>
        <v>1986193.125</v>
      </c>
      <c r="U93" s="60"/>
      <c r="V93" s="60"/>
      <c r="W93" s="60"/>
      <c r="X93" s="60"/>
      <c r="Y93" s="60"/>
    </row>
    <row r="94" spans="1:25" x14ac:dyDescent="0.25">
      <c r="A94" s="95">
        <v>1</v>
      </c>
      <c r="B94" s="95">
        <f>B93+1</f>
        <v>2014</v>
      </c>
      <c r="C94" s="367">
        <f>'DATOS DE ENTRADA'!E21*'DATOS DE ENTRADA'!C22</f>
        <v>212500000</v>
      </c>
      <c r="D94" s="368">
        <f>'VT '!B405+'CO '!B1810</f>
        <v>0</v>
      </c>
      <c r="E94" s="369">
        <f>C94*K94</f>
        <v>189732142.85714284</v>
      </c>
      <c r="F94" s="367">
        <f>D94*K94</f>
        <v>0</v>
      </c>
      <c r="G94" s="371">
        <f t="shared" si="31"/>
        <v>-212500000</v>
      </c>
      <c r="H94" s="371">
        <f>F94-E94</f>
        <v>-189732142.85714284</v>
      </c>
      <c r="I94" s="371">
        <f>I93+G94</f>
        <v>-637500000</v>
      </c>
      <c r="J94" s="370">
        <f>J93+H94</f>
        <v>-614732142.85714281</v>
      </c>
      <c r="K94" s="95">
        <f t="shared" ref="K94:K123" si="33">1/(1+$E$36)^A94</f>
        <v>0.89285714285714279</v>
      </c>
      <c r="L94" s="174"/>
      <c r="M94" s="95"/>
      <c r="N94" s="95">
        <f t="shared" si="32"/>
        <v>189732142.85714284</v>
      </c>
      <c r="O94" s="95">
        <f t="shared" ref="O94:O125" si="34">J205*365*K94</f>
        <v>1826588.3203125</v>
      </c>
      <c r="U94" s="60"/>
      <c r="V94" s="60"/>
      <c r="W94" s="60"/>
      <c r="X94" s="60"/>
      <c r="Y94" s="60"/>
    </row>
    <row r="95" spans="1:25" x14ac:dyDescent="0.25">
      <c r="A95" s="95">
        <v>2</v>
      </c>
      <c r="B95" s="95">
        <f t="shared" ref="B95:B125" si="35">B94+1</f>
        <v>2015</v>
      </c>
      <c r="C95" s="367">
        <f>'DATOS DE ENTRADA'!F21*'DATOS DE ENTRADA'!C22</f>
        <v>212500000</v>
      </c>
      <c r="D95" s="368">
        <v>0</v>
      </c>
      <c r="E95" s="369">
        <f>C95*K95</f>
        <v>169403698.97959182</v>
      </c>
      <c r="F95" s="367">
        <f>D95*K95</f>
        <v>0</v>
      </c>
      <c r="G95" s="371">
        <f t="shared" si="31"/>
        <v>-212500000</v>
      </c>
      <c r="H95" s="371">
        <f>F95-E95</f>
        <v>-169403698.97959182</v>
      </c>
      <c r="I95" s="371">
        <f t="shared" ref="I95:I123" si="36">I94+G95</f>
        <v>-850000000</v>
      </c>
      <c r="J95" s="370">
        <f t="shared" ref="J95:J123" si="37">J94+H95</f>
        <v>-784135841.83673465</v>
      </c>
      <c r="K95" s="95">
        <f t="shared" si="33"/>
        <v>0.79719387755102034</v>
      </c>
      <c r="L95" s="174"/>
      <c r="M95" s="95"/>
      <c r="N95" s="95">
        <f t="shared" si="32"/>
        <v>169403698.97959182</v>
      </c>
      <c r="O95" s="95">
        <f t="shared" si="34"/>
        <v>1679808.9017159594</v>
      </c>
      <c r="U95" s="60"/>
      <c r="V95" s="60"/>
      <c r="W95" s="60"/>
      <c r="X95" s="60"/>
      <c r="Y95" s="60"/>
    </row>
    <row r="96" spans="1:25" x14ac:dyDescent="0.25">
      <c r="A96" s="95">
        <v>3</v>
      </c>
      <c r="B96" s="95">
        <f t="shared" si="35"/>
        <v>2016</v>
      </c>
      <c r="C96" s="367">
        <f>C3</f>
        <v>2520000</v>
      </c>
      <c r="D96" s="368">
        <f>'CO '!B1726+'VT '!B321</f>
        <v>169550304.74591303</v>
      </c>
      <c r="E96" s="369">
        <f>C96*K96</f>
        <v>1793686.2244897955</v>
      </c>
      <c r="F96" s="367">
        <f t="shared" ref="F96:F117" si="38">D96*K96</f>
        <v>120682557.92888531</v>
      </c>
      <c r="G96" s="371">
        <f t="shared" si="31"/>
        <v>167030304.74591303</v>
      </c>
      <c r="H96" s="371">
        <f>F96-E96</f>
        <v>118888871.70439552</v>
      </c>
      <c r="I96" s="371">
        <f t="shared" si="36"/>
        <v>-682969695.25408697</v>
      </c>
      <c r="J96" s="370">
        <f t="shared" si="37"/>
        <v>-665246970.13233912</v>
      </c>
      <c r="K96" s="95">
        <f t="shared" si="33"/>
        <v>0.71178024781341087</v>
      </c>
      <c r="L96" s="555">
        <f>'CO '!H1724+'VT '!E319</f>
        <v>115577737.42093356</v>
      </c>
      <c r="M96" s="95">
        <f t="shared" ref="M96:M125" si="39">L96*K96</f>
        <v>82265950.583185419</v>
      </c>
      <c r="N96" s="95">
        <f t="shared" si="32"/>
        <v>1793686.2244897955</v>
      </c>
      <c r="O96" s="95">
        <f t="shared" si="34"/>
        <v>1544824.2578280696</v>
      </c>
      <c r="U96" s="60"/>
      <c r="V96" s="60"/>
      <c r="W96" s="60"/>
      <c r="X96" s="60"/>
      <c r="Y96" s="60"/>
    </row>
    <row r="97" spans="1:25" x14ac:dyDescent="0.25">
      <c r="A97" s="95">
        <v>4</v>
      </c>
      <c r="B97" s="95">
        <f t="shared" si="35"/>
        <v>2017</v>
      </c>
      <c r="C97" s="367">
        <f t="shared" ref="C97:C125" si="40">C4</f>
        <v>2520000</v>
      </c>
      <c r="D97" s="368">
        <f>'CO '!B1727+'VT '!B322</f>
        <v>174142820.46085772</v>
      </c>
      <c r="E97" s="369">
        <f t="shared" ref="E97:E108" si="41">C97*K97</f>
        <v>1601505.5575801746</v>
      </c>
      <c r="F97" s="367">
        <f t="shared" si="38"/>
        <v>110670910.62728181</v>
      </c>
      <c r="G97" s="371">
        <f t="shared" si="31"/>
        <v>171622820.46085772</v>
      </c>
      <c r="H97" s="371">
        <f t="shared" ref="H97:H123" si="42">F97-E97</f>
        <v>109069405.06970164</v>
      </c>
      <c r="I97" s="371">
        <f>I96+G97</f>
        <v>-511346874.79322922</v>
      </c>
      <c r="J97" s="370">
        <f t="shared" si="37"/>
        <v>-556177565.06263745</v>
      </c>
      <c r="K97" s="95">
        <f t="shared" si="33"/>
        <v>0.63551807840483121</v>
      </c>
      <c r="L97" s="555">
        <f>'CO '!H1725+'VT '!E320</f>
        <v>118605969.65391222</v>
      </c>
      <c r="M97" s="95">
        <f t="shared" si="39"/>
        <v>75376237.921796009</v>
      </c>
      <c r="N97" s="95">
        <f t="shared" si="32"/>
        <v>1601505.5575801746</v>
      </c>
      <c r="O97" s="95">
        <f t="shared" si="34"/>
        <v>1420686.5942525996</v>
      </c>
      <c r="U97" s="60"/>
      <c r="V97" s="60"/>
      <c r="W97" s="60"/>
      <c r="X97" s="60"/>
      <c r="Y97" s="60"/>
    </row>
    <row r="98" spans="1:25" x14ac:dyDescent="0.25">
      <c r="A98" s="95">
        <v>5</v>
      </c>
      <c r="B98" s="95">
        <f t="shared" si="35"/>
        <v>2018</v>
      </c>
      <c r="C98" s="367">
        <f t="shared" si="40"/>
        <v>2520000</v>
      </c>
      <c r="D98" s="368">
        <f>'CO '!B1728+'VT '!B323</f>
        <v>178839445.30298889</v>
      </c>
      <c r="E98" s="369">
        <f t="shared" si="41"/>
        <v>1429915.6764108699</v>
      </c>
      <c r="F98" s="367">
        <f t="shared" si="38"/>
        <v>101478304.12673339</v>
      </c>
      <c r="G98" s="371">
        <f t="shared" si="31"/>
        <v>176319445.30298889</v>
      </c>
      <c r="H98" s="371">
        <f t="shared" si="42"/>
        <v>100048388.45032252</v>
      </c>
      <c r="I98" s="371">
        <f t="shared" si="36"/>
        <v>-335027429.49024034</v>
      </c>
      <c r="J98" s="370">
        <f t="shared" si="37"/>
        <v>-456129176.61231494</v>
      </c>
      <c r="K98" s="95">
        <f t="shared" si="33"/>
        <v>0.56742685571859919</v>
      </c>
      <c r="L98" s="555">
        <f>'CO '!H1726+'VT '!E321</f>
        <v>121872546.9709923</v>
      </c>
      <c r="M98" s="95">
        <f t="shared" si="39"/>
        <v>69153756.126167446</v>
      </c>
      <c r="N98" s="95">
        <f t="shared" si="32"/>
        <v>1429915.6764108699</v>
      </c>
      <c r="O98" s="95">
        <f t="shared" si="34"/>
        <v>1306524.2786430155</v>
      </c>
      <c r="U98" s="60"/>
      <c r="V98" s="60"/>
      <c r="W98" s="60"/>
      <c r="X98" s="60"/>
      <c r="Y98" s="60"/>
    </row>
    <row r="99" spans="1:25" x14ac:dyDescent="0.25">
      <c r="A99" s="95">
        <v>6</v>
      </c>
      <c r="B99" s="95">
        <f t="shared" si="35"/>
        <v>2019</v>
      </c>
      <c r="C99" s="367">
        <f t="shared" si="40"/>
        <v>8750000</v>
      </c>
      <c r="D99" s="368">
        <f>'CO '!B1729+'VT '!B324</f>
        <v>183640879.22100008</v>
      </c>
      <c r="E99" s="369">
        <f t="shared" si="41"/>
        <v>4433022.3103015563</v>
      </c>
      <c r="F99" s="367">
        <f t="shared" si="38"/>
        <v>93038184.533724204</v>
      </c>
      <c r="G99" s="371">
        <f t="shared" ref="G99:G110" si="43">D99-C99</f>
        <v>174890879.22100008</v>
      </c>
      <c r="H99" s="371">
        <f t="shared" si="42"/>
        <v>88605162.223422647</v>
      </c>
      <c r="I99" s="371">
        <f t="shared" si="36"/>
        <v>-160136550.26924026</v>
      </c>
      <c r="J99" s="370">
        <f t="shared" si="37"/>
        <v>-367524014.38889229</v>
      </c>
      <c r="K99" s="95">
        <f t="shared" si="33"/>
        <v>0.50663112117732068</v>
      </c>
      <c r="L99" s="555">
        <f>'CO '!H1727+'VT '!E322</f>
        <v>125034729.95268948</v>
      </c>
      <c r="M99" s="95">
        <f t="shared" si="39"/>
        <v>63346485.422034591</v>
      </c>
      <c r="N99" s="95">
        <f t="shared" si="32"/>
        <v>4433022.3103015563</v>
      </c>
      <c r="O99" s="95">
        <f t="shared" si="34"/>
        <v>1201535.7205377736</v>
      </c>
      <c r="U99" s="60"/>
      <c r="V99" s="60"/>
      <c r="W99" s="60"/>
      <c r="X99" s="60"/>
      <c r="Y99" s="60"/>
    </row>
    <row r="100" spans="1:25" x14ac:dyDescent="0.25">
      <c r="A100" s="95">
        <v>7</v>
      </c>
      <c r="B100" s="95">
        <f t="shared" si="35"/>
        <v>2020</v>
      </c>
      <c r="C100" s="367">
        <f t="shared" si="40"/>
        <v>2520000</v>
      </c>
      <c r="D100" s="368">
        <f>'CO '!B1730+'VT '!B325</f>
        <v>188547655.20609868</v>
      </c>
      <c r="E100" s="369">
        <f t="shared" si="41"/>
        <v>1139920.0226489715</v>
      </c>
      <c r="F100" s="367">
        <f t="shared" si="38"/>
        <v>85289383.886089861</v>
      </c>
      <c r="G100" s="371">
        <f t="shared" si="43"/>
        <v>186027655.20609868</v>
      </c>
      <c r="H100" s="371">
        <f t="shared" si="42"/>
        <v>84149463.863440886</v>
      </c>
      <c r="I100" s="371">
        <f t="shared" si="36"/>
        <v>25891104.936858416</v>
      </c>
      <c r="J100" s="370">
        <f t="shared" si="37"/>
        <v>-283374550.52545142</v>
      </c>
      <c r="K100" s="95">
        <f t="shared" si="33"/>
        <v>0.45234921533689343</v>
      </c>
      <c r="L100" s="555">
        <f>'CO '!H1728+'VT '!E323</f>
        <v>128258112.07957558</v>
      </c>
      <c r="M100" s="95">
        <f t="shared" si="39"/>
        <v>58017456.359787345</v>
      </c>
      <c r="N100" s="95">
        <f t="shared" si="32"/>
        <v>1139920.0226489715</v>
      </c>
      <c r="O100" s="95">
        <f t="shared" si="34"/>
        <v>1104983.7429945595</v>
      </c>
      <c r="U100" s="60"/>
      <c r="V100" s="60"/>
      <c r="W100" s="60"/>
      <c r="X100" s="60"/>
      <c r="Y100" s="60"/>
    </row>
    <row r="101" spans="1:25" x14ac:dyDescent="0.25">
      <c r="A101" s="95">
        <v>8</v>
      </c>
      <c r="B101" s="95">
        <f t="shared" si="35"/>
        <v>2021</v>
      </c>
      <c r="C101" s="367">
        <f t="shared" si="40"/>
        <v>2520000</v>
      </c>
      <c r="D101" s="368">
        <f>'CO '!B1731+'VT '!B326</f>
        <v>191880793.55601016</v>
      </c>
      <c r="E101" s="369">
        <f t="shared" si="41"/>
        <v>1017785.7345080101</v>
      </c>
      <c r="F101" s="367">
        <f t="shared" si="38"/>
        <v>77497434.288644314</v>
      </c>
      <c r="G101" s="371">
        <f t="shared" si="43"/>
        <v>189360793.55601016</v>
      </c>
      <c r="H101" s="371">
        <f t="shared" si="42"/>
        <v>76479648.554136306</v>
      </c>
      <c r="I101" s="371">
        <f t="shared" si="36"/>
        <v>215251898.49286857</v>
      </c>
      <c r="J101" s="370">
        <f t="shared" si="37"/>
        <v>-206894901.97131512</v>
      </c>
      <c r="K101" s="95">
        <f t="shared" si="33"/>
        <v>0.4038832279793691</v>
      </c>
      <c r="L101" s="555">
        <f>'CO '!H1729+'VT '!E324</f>
        <v>131542106.00088428</v>
      </c>
      <c r="M101" s="95">
        <f t="shared" si="39"/>
        <v>53127650.386841483</v>
      </c>
      <c r="N101" s="95">
        <f t="shared" si="32"/>
        <v>1017785.7345080101</v>
      </c>
      <c r="O101" s="95">
        <f t="shared" si="34"/>
        <v>1016190.406503925</v>
      </c>
      <c r="U101" s="60"/>
      <c r="V101" s="60"/>
      <c r="W101" s="60"/>
      <c r="X101" s="60"/>
      <c r="Y101" s="60"/>
    </row>
    <row r="102" spans="1:25" x14ac:dyDescent="0.25">
      <c r="A102" s="95">
        <v>9</v>
      </c>
      <c r="B102" s="95">
        <f t="shared" si="35"/>
        <v>2022</v>
      </c>
      <c r="C102" s="367">
        <f t="shared" si="40"/>
        <v>2520000</v>
      </c>
      <c r="D102" s="368">
        <f>'CO '!B1732+'VT '!B327</f>
        <v>196948697.70353335</v>
      </c>
      <c r="E102" s="369">
        <f t="shared" si="41"/>
        <v>908737.26295358047</v>
      </c>
      <c r="F102" s="367">
        <f t="shared" si="38"/>
        <v>71021674.79896073</v>
      </c>
      <c r="G102" s="371">
        <f t="shared" si="43"/>
        <v>194428697.70353335</v>
      </c>
      <c r="H102" s="371">
        <f t="shared" si="42"/>
        <v>70112937.536007151</v>
      </c>
      <c r="I102" s="371">
        <f t="shared" si="36"/>
        <v>409680596.19640195</v>
      </c>
      <c r="J102" s="370">
        <f t="shared" si="37"/>
        <v>-136781964.43530798</v>
      </c>
      <c r="K102" s="95">
        <f t="shared" si="33"/>
        <v>0.36061002498157957</v>
      </c>
      <c r="L102" s="555">
        <f>'CO '!H1730+'VT '!E325</f>
        <v>134885918.78937948</v>
      </c>
      <c r="M102" s="95">
        <f t="shared" si="39"/>
        <v>48641214.544301443</v>
      </c>
      <c r="N102" s="95">
        <f t="shared" si="32"/>
        <v>908737.26295358047</v>
      </c>
      <c r="O102" s="95">
        <f t="shared" si="34"/>
        <v>934532.24883843097</v>
      </c>
      <c r="U102" s="60"/>
      <c r="V102" s="60"/>
      <c r="W102" s="60"/>
      <c r="X102" s="60"/>
      <c r="Y102" s="60"/>
    </row>
    <row r="103" spans="1:25" x14ac:dyDescent="0.25">
      <c r="A103" s="95">
        <v>10</v>
      </c>
      <c r="B103" s="95">
        <f t="shared" si="35"/>
        <v>2023</v>
      </c>
      <c r="C103" s="367">
        <f t="shared" si="40"/>
        <v>43750000</v>
      </c>
      <c r="D103" s="368">
        <f>'CO '!B1733+'VT '!B328</f>
        <v>202120808.29358405</v>
      </c>
      <c r="E103" s="369">
        <f t="shared" si="41"/>
        <v>14086329.100842949</v>
      </c>
      <c r="F103" s="367">
        <f t="shared" si="38"/>
        <v>65077490.828612842</v>
      </c>
      <c r="G103" s="371">
        <f t="shared" si="43"/>
        <v>158370808.29358405</v>
      </c>
      <c r="H103" s="371">
        <f t="shared" si="42"/>
        <v>50991161.727769896</v>
      </c>
      <c r="I103" s="371">
        <f t="shared" si="36"/>
        <v>568051404.48998594</v>
      </c>
      <c r="J103" s="370">
        <f t="shared" si="37"/>
        <v>-85790802.707538083</v>
      </c>
      <c r="K103" s="95">
        <f t="shared" si="33"/>
        <v>0.32197323659069599</v>
      </c>
      <c r="L103" s="555">
        <f>'CO '!H1731+'VT '!E326</f>
        <v>138288529.74001664</v>
      </c>
      <c r="M103" s="95">
        <f t="shared" si="39"/>
        <v>44525205.503761873</v>
      </c>
      <c r="N103" s="95">
        <f t="shared" si="32"/>
        <v>14086329.100842949</v>
      </c>
      <c r="O103" s="95">
        <f t="shared" si="34"/>
        <v>859435.90741391398</v>
      </c>
      <c r="U103" s="60"/>
      <c r="V103" s="60"/>
      <c r="W103" s="60"/>
      <c r="X103" s="60"/>
      <c r="Y103" s="60"/>
    </row>
    <row r="104" spans="1:25" x14ac:dyDescent="0.25">
      <c r="A104" s="95">
        <v>11</v>
      </c>
      <c r="B104" s="95">
        <f t="shared" si="35"/>
        <v>2024</v>
      </c>
      <c r="C104" s="367">
        <f t="shared" si="40"/>
        <v>2520000</v>
      </c>
      <c r="D104" s="368">
        <f>'CO '!B1734+'VT '!B329</f>
        <v>207396711.93613824</v>
      </c>
      <c r="E104" s="369">
        <f t="shared" si="41"/>
        <v>724439.78232906584</v>
      </c>
      <c r="F104" s="367">
        <f t="shared" si="38"/>
        <v>59621598.750309512</v>
      </c>
      <c r="G104" s="371">
        <f t="shared" si="43"/>
        <v>204876711.93613824</v>
      </c>
      <c r="H104" s="371">
        <f t="shared" si="42"/>
        <v>58897158.967980444</v>
      </c>
      <c r="I104" s="371">
        <f t="shared" si="36"/>
        <v>772928116.42612422</v>
      </c>
      <c r="J104" s="370">
        <f t="shared" si="37"/>
        <v>-26893643.739557639</v>
      </c>
      <c r="K104" s="95">
        <f t="shared" si="33"/>
        <v>0.28747610409883567</v>
      </c>
      <c r="L104" s="555">
        <f>'CO '!H1732+'VT '!E327</f>
        <v>141748665.97305989</v>
      </c>
      <c r="M104" s="95">
        <f t="shared" si="39"/>
        <v>40749354.25514245</v>
      </c>
      <c r="N104" s="95">
        <f t="shared" si="32"/>
        <v>724439.78232906584</v>
      </c>
      <c r="O104" s="95">
        <f t="shared" si="34"/>
        <v>790374.0934252959</v>
      </c>
      <c r="U104" s="60"/>
      <c r="V104" s="60"/>
      <c r="W104" s="60"/>
      <c r="X104" s="60"/>
      <c r="Y104" s="60"/>
    </row>
    <row r="105" spans="1:25" x14ac:dyDescent="0.25">
      <c r="A105" s="95">
        <v>12</v>
      </c>
      <c r="B105" s="95">
        <f t="shared" si="35"/>
        <v>2025</v>
      </c>
      <c r="C105" s="367">
        <f t="shared" si="40"/>
        <v>2520000</v>
      </c>
      <c r="D105" s="368">
        <f>'CO '!B1735+'VT '!B330</f>
        <v>421541223.59909022</v>
      </c>
      <c r="E105" s="369">
        <f t="shared" si="41"/>
        <v>646821.23422238033</v>
      </c>
      <c r="F105" s="367">
        <f t="shared" si="38"/>
        <v>108199132.74760951</v>
      </c>
      <c r="G105" s="371">
        <f t="shared" si="43"/>
        <v>419021223.59909022</v>
      </c>
      <c r="H105" s="371">
        <f t="shared" si="42"/>
        <v>107552311.51338713</v>
      </c>
      <c r="I105" s="371">
        <f t="shared" si="36"/>
        <v>1191949340.0252144</v>
      </c>
      <c r="J105" s="370">
        <f t="shared" si="37"/>
        <v>80658667.77382949</v>
      </c>
      <c r="K105" s="95">
        <f t="shared" si="33"/>
        <v>0.25667509294538904</v>
      </c>
      <c r="L105" s="555">
        <f>'CO '!H1733+'VT '!E328</f>
        <v>145264775.61119667</v>
      </c>
      <c r="M105" s="95">
        <f t="shared" si="39"/>
        <v>37285849.781694986</v>
      </c>
      <c r="N105" s="95">
        <f t="shared" si="32"/>
        <v>646821.23422238033</v>
      </c>
      <c r="O105" s="95">
        <f t="shared" si="34"/>
        <v>726861.88948933466</v>
      </c>
      <c r="U105" s="60"/>
      <c r="V105" s="60"/>
      <c r="W105" s="60"/>
      <c r="X105" s="60"/>
      <c r="Y105" s="60"/>
    </row>
    <row r="106" spans="1:25" x14ac:dyDescent="0.25">
      <c r="A106" s="95">
        <v>13</v>
      </c>
      <c r="B106" s="95">
        <f t="shared" si="35"/>
        <v>2026</v>
      </c>
      <c r="C106" s="367">
        <f t="shared" si="40"/>
        <v>2520000</v>
      </c>
      <c r="D106" s="368">
        <f>'CO '!B1736+'VT '!B331</f>
        <v>433285214.1995548</v>
      </c>
      <c r="E106" s="369">
        <f t="shared" si="41"/>
        <v>577518.95912712521</v>
      </c>
      <c r="F106" s="367">
        <f t="shared" si="38"/>
        <v>99297788.05940491</v>
      </c>
      <c r="G106" s="371">
        <f t="shared" si="43"/>
        <v>430765214.1995548</v>
      </c>
      <c r="H106" s="371">
        <f t="shared" si="42"/>
        <v>98720269.100277781</v>
      </c>
      <c r="I106" s="371">
        <f t="shared" si="36"/>
        <v>1622714554.2247691</v>
      </c>
      <c r="J106" s="370">
        <f t="shared" si="37"/>
        <v>179378936.87410727</v>
      </c>
      <c r="K106" s="95">
        <f t="shared" si="33"/>
        <v>0.22917419012981158</v>
      </c>
      <c r="L106" s="555">
        <f>'CO '!H1734+'VT '!E329</f>
        <v>148834998.27327901</v>
      </c>
      <c r="M106" s="95">
        <f t="shared" si="39"/>
        <v>34109140.192250624</v>
      </c>
      <c r="N106" s="95">
        <f t="shared" si="32"/>
        <v>577518.95912712521</v>
      </c>
      <c r="O106" s="95">
        <f t="shared" si="34"/>
        <v>668453.34479822719</v>
      </c>
      <c r="U106" s="60"/>
      <c r="V106" s="60"/>
      <c r="W106" s="60"/>
      <c r="X106" s="60"/>
      <c r="Y106" s="60"/>
    </row>
    <row r="107" spans="1:25" x14ac:dyDescent="0.25">
      <c r="A107" s="95">
        <v>14</v>
      </c>
      <c r="B107" s="95">
        <f t="shared" si="35"/>
        <v>2027</v>
      </c>
      <c r="C107" s="367">
        <f t="shared" si="40"/>
        <v>8750000</v>
      </c>
      <c r="D107" s="368">
        <f>'CO '!B1737+'VT '!B332</f>
        <v>376697089.63516462</v>
      </c>
      <c r="E107" s="369">
        <f t="shared" si="41"/>
        <v>1790423.3603891528</v>
      </c>
      <c r="F107" s="367">
        <f t="shared" si="38"/>
        <v>77079687.894103467</v>
      </c>
      <c r="G107" s="371">
        <f t="shared" si="43"/>
        <v>367947089.63516462</v>
      </c>
      <c r="H107" s="371">
        <f t="shared" si="42"/>
        <v>75289264.533714309</v>
      </c>
      <c r="I107" s="371">
        <f t="shared" si="36"/>
        <v>1990661643.8599339</v>
      </c>
      <c r="J107" s="370">
        <f t="shared" si="37"/>
        <v>254668201.4078216</v>
      </c>
      <c r="K107" s="95">
        <f t="shared" si="33"/>
        <v>0.20461981261590317</v>
      </c>
      <c r="L107" s="555">
        <f>'CO '!H1735+'VT '!E330</f>
        <v>206341654.66400003</v>
      </c>
      <c r="M107" s="95">
        <f t="shared" si="39"/>
        <v>42221590.712203093</v>
      </c>
      <c r="N107" s="95">
        <f t="shared" si="32"/>
        <v>1790423.3603891528</v>
      </c>
      <c r="O107" s="95">
        <f t="shared" si="34"/>
        <v>614738.34387694125</v>
      </c>
      <c r="U107" s="60"/>
      <c r="V107" s="60"/>
      <c r="W107" s="60"/>
      <c r="X107" s="60"/>
      <c r="Y107" s="60"/>
    </row>
    <row r="108" spans="1:25" x14ac:dyDescent="0.25">
      <c r="A108" s="95">
        <v>15</v>
      </c>
      <c r="B108" s="95">
        <f t="shared" si="35"/>
        <v>2028</v>
      </c>
      <c r="C108" s="367">
        <f t="shared" si="40"/>
        <v>2520000</v>
      </c>
      <c r="D108" s="368">
        <f>'CO '!B1738+'VT '!B333</f>
        <v>386963302.5161916</v>
      </c>
      <c r="E108" s="369">
        <f t="shared" si="41"/>
        <v>460394.57838578214</v>
      </c>
      <c r="F108" s="367">
        <f t="shared" si="38"/>
        <v>70696748.61615552</v>
      </c>
      <c r="G108" s="371">
        <f t="shared" si="43"/>
        <v>384443302.5161916</v>
      </c>
      <c r="H108" s="371">
        <f t="shared" si="42"/>
        <v>70236354.037769735</v>
      </c>
      <c r="I108" s="371">
        <f t="shared" si="36"/>
        <v>2375104946.3761253</v>
      </c>
      <c r="J108" s="370">
        <f t="shared" si="37"/>
        <v>324904555.44559133</v>
      </c>
      <c r="K108" s="95">
        <f t="shared" si="33"/>
        <v>0.18269626126419927</v>
      </c>
      <c r="L108" s="555">
        <f>'CO '!H1736+'VT '!E331</f>
        <v>211629658.19641194</v>
      </c>
      <c r="M108" s="95">
        <f t="shared" si="39"/>
        <v>38663947.32510487</v>
      </c>
      <c r="N108" s="95">
        <f t="shared" si="32"/>
        <v>460394.57838578214</v>
      </c>
      <c r="O108" s="95">
        <f t="shared" si="34"/>
        <v>565339.72695825843</v>
      </c>
      <c r="U108" s="60"/>
      <c r="V108" s="60"/>
      <c r="W108" s="60"/>
      <c r="X108" s="60"/>
      <c r="Y108" s="60"/>
    </row>
    <row r="109" spans="1:25" x14ac:dyDescent="0.25">
      <c r="A109" s="95">
        <v>16</v>
      </c>
      <c r="B109" s="95">
        <f t="shared" si="35"/>
        <v>2029</v>
      </c>
      <c r="C109" s="367">
        <f t="shared" si="40"/>
        <v>2520000</v>
      </c>
      <c r="D109" s="368">
        <f>'CO '!B1739+'VT '!B334</f>
        <v>397878622.34165764</v>
      </c>
      <c r="E109" s="369">
        <f>C109*K109</f>
        <v>411066.58784444828</v>
      </c>
      <c r="F109" s="367">
        <f t="shared" si="38"/>
        <v>64902622.088188522</v>
      </c>
      <c r="G109" s="371">
        <f t="shared" si="43"/>
        <v>395358622.34165764</v>
      </c>
      <c r="H109" s="371">
        <f t="shared" si="42"/>
        <v>64491555.500344075</v>
      </c>
      <c r="I109" s="371">
        <f t="shared" si="36"/>
        <v>2770463568.717783</v>
      </c>
      <c r="J109" s="370">
        <f t="shared" si="37"/>
        <v>389396110.94593543</v>
      </c>
      <c r="K109" s="95">
        <f t="shared" si="33"/>
        <v>0.16312166184303503</v>
      </c>
      <c r="L109" s="555">
        <f>'CO '!H1737+'VT '!E332</f>
        <v>217012497.05251837</v>
      </c>
      <c r="M109" s="95">
        <f t="shared" si="39"/>
        <v>35399439.15991354</v>
      </c>
      <c r="N109" s="95">
        <f t="shared" si="32"/>
        <v>411066.58784444828</v>
      </c>
      <c r="O109" s="95">
        <f t="shared" si="34"/>
        <v>519910.6417562553</v>
      </c>
      <c r="U109" s="60"/>
      <c r="V109" s="60"/>
      <c r="W109" s="60"/>
      <c r="X109" s="60"/>
      <c r="Y109" s="60"/>
    </row>
    <row r="110" spans="1:25" x14ac:dyDescent="0.25">
      <c r="A110" s="95">
        <v>17</v>
      </c>
      <c r="B110" s="95">
        <f t="shared" si="35"/>
        <v>2030</v>
      </c>
      <c r="C110" s="367">
        <f t="shared" si="40"/>
        <v>2520000</v>
      </c>
      <c r="D110" s="368">
        <f>'CO '!B1740+'VT '!B335</f>
        <v>408644190.16112113</v>
      </c>
      <c r="E110" s="369">
        <f t="shared" ref="E110:E123" si="44">C110*K110</f>
        <v>367023.73914682883</v>
      </c>
      <c r="F110" s="367">
        <f t="shared" si="38"/>
        <v>59516713.751413666</v>
      </c>
      <c r="G110" s="371">
        <f t="shared" si="43"/>
        <v>406124190.16112113</v>
      </c>
      <c r="H110" s="371">
        <f t="shared" si="42"/>
        <v>59149690.012266837</v>
      </c>
      <c r="I110" s="371">
        <f t="shared" si="36"/>
        <v>3176587758.8789043</v>
      </c>
      <c r="J110" s="371">
        <f t="shared" si="37"/>
        <v>448545800.95820224</v>
      </c>
      <c r="K110" s="95">
        <f t="shared" si="33"/>
        <v>0.14564434093128129</v>
      </c>
      <c r="L110" s="555">
        <f>'CO '!H1738+'VT '!E333</f>
        <v>222488172.15606615</v>
      </c>
      <c r="M110" s="95">
        <f t="shared" si="39"/>
        <v>32404143.198675703</v>
      </c>
      <c r="N110" s="95">
        <f t="shared" si="32"/>
        <v>367023.73914682883</v>
      </c>
      <c r="O110" s="95">
        <f t="shared" si="34"/>
        <v>478132.10804369918</v>
      </c>
      <c r="U110" s="60"/>
      <c r="V110" s="60"/>
      <c r="W110" s="60"/>
      <c r="X110" s="60"/>
      <c r="Y110" s="60"/>
    </row>
    <row r="111" spans="1:25" x14ac:dyDescent="0.25">
      <c r="A111" s="95">
        <v>18</v>
      </c>
      <c r="B111" s="95">
        <f t="shared" si="35"/>
        <v>2031</v>
      </c>
      <c r="C111" s="367">
        <f t="shared" si="40"/>
        <v>176750000</v>
      </c>
      <c r="D111" s="368">
        <f>'CO '!B1741+'VT '!B336</f>
        <v>419648389.29850841</v>
      </c>
      <c r="E111" s="369">
        <f t="shared" si="44"/>
        <v>22984497.553217825</v>
      </c>
      <c r="F111" s="367">
        <f t="shared" si="38"/>
        <v>54570904.537727684</v>
      </c>
      <c r="G111" s="371">
        <f>D111-C111</f>
        <v>242898389.29850841</v>
      </c>
      <c r="H111" s="371">
        <f t="shared" si="42"/>
        <v>31586406.984509859</v>
      </c>
      <c r="I111" s="371">
        <f t="shared" si="36"/>
        <v>3419486148.177413</v>
      </c>
      <c r="J111" s="371">
        <f t="shared" si="37"/>
        <v>480132207.94271213</v>
      </c>
      <c r="K111" s="95">
        <f t="shared" si="33"/>
        <v>0.13003959011721541</v>
      </c>
      <c r="L111" s="555">
        <f>'CO '!H1739+'VT '!E334</f>
        <v>228469238.07072821</v>
      </c>
      <c r="M111" s="95">
        <f t="shared" si="39"/>
        <v>29710046.073110003</v>
      </c>
      <c r="N111" s="95">
        <f t="shared" si="32"/>
        <v>22984497.553217825</v>
      </c>
      <c r="O111" s="95">
        <f t="shared" si="34"/>
        <v>439710.77793304459</v>
      </c>
      <c r="U111" s="60"/>
      <c r="V111" s="60"/>
      <c r="W111" s="60"/>
      <c r="X111" s="60"/>
      <c r="Y111" s="60"/>
    </row>
    <row r="112" spans="1:25" x14ac:dyDescent="0.25">
      <c r="A112" s="95">
        <v>19</v>
      </c>
      <c r="B112" s="95">
        <f t="shared" si="35"/>
        <v>2032</v>
      </c>
      <c r="C112" s="367">
        <f t="shared" si="40"/>
        <v>2520000</v>
      </c>
      <c r="D112" s="368">
        <f>'CO '!B1742+'VT '!B337</f>
        <v>428491011.35908353</v>
      </c>
      <c r="E112" s="369">
        <f t="shared" si="44"/>
        <v>292589.07776373468</v>
      </c>
      <c r="F112" s="367">
        <f t="shared" si="38"/>
        <v>49750710.255398497</v>
      </c>
      <c r="G112" s="371">
        <f t="shared" ref="G112:G123" si="45">D112-C112</f>
        <v>425971011.35908353</v>
      </c>
      <c r="H112" s="371">
        <f t="shared" si="42"/>
        <v>49458121.177634761</v>
      </c>
      <c r="I112" s="371">
        <f t="shared" si="36"/>
        <v>3845457159.5364966</v>
      </c>
      <c r="J112" s="371">
        <f t="shared" si="37"/>
        <v>529590329.1203469</v>
      </c>
      <c r="K112" s="95">
        <f t="shared" si="33"/>
        <v>0.1161067768903709</v>
      </c>
      <c r="L112" s="555">
        <f>'CO '!H1740+'VT '!E335</f>
        <v>234152524.36206415</v>
      </c>
      <c r="M112" s="95">
        <f t="shared" si="39"/>
        <v>27186694.904423319</v>
      </c>
      <c r="N112" s="95">
        <f t="shared" si="32"/>
        <v>292589.07776373468</v>
      </c>
      <c r="O112" s="95">
        <f t="shared" si="34"/>
        <v>404376.87613485352</v>
      </c>
      <c r="U112" s="60"/>
      <c r="V112" s="60"/>
      <c r="W112" s="60"/>
      <c r="X112" s="60"/>
      <c r="Y112" s="60"/>
    </row>
    <row r="113" spans="1:25" x14ac:dyDescent="0.25">
      <c r="A113" s="95">
        <v>20</v>
      </c>
      <c r="B113" s="95">
        <f t="shared" si="35"/>
        <v>2033</v>
      </c>
      <c r="C113" s="367">
        <f t="shared" si="40"/>
        <v>2520000</v>
      </c>
      <c r="D113" s="368">
        <f>'CO '!B1743+'VT '!B338</f>
        <v>439901655.10845494</v>
      </c>
      <c r="E113" s="369">
        <f t="shared" si="44"/>
        <v>261240.24800333451</v>
      </c>
      <c r="F113" s="367">
        <f t="shared" si="38"/>
        <v>45603181.53873416</v>
      </c>
      <c r="G113" s="371">
        <f t="shared" si="45"/>
        <v>437381655.10845494</v>
      </c>
      <c r="H113" s="371">
        <f t="shared" si="42"/>
        <v>45341941.290730827</v>
      </c>
      <c r="I113" s="371">
        <f t="shared" si="36"/>
        <v>4282838814.6449518</v>
      </c>
      <c r="J113" s="371">
        <f t="shared" si="37"/>
        <v>574932270.41107774</v>
      </c>
      <c r="K113" s="95">
        <f t="shared" si="33"/>
        <v>0.1036667650806883</v>
      </c>
      <c r="L113" s="555">
        <f>'CO '!H1741+'VT '!E336</f>
        <v>239921973.5254795</v>
      </c>
      <c r="M113" s="95">
        <f t="shared" si="39"/>
        <v>24871934.867160998</v>
      </c>
      <c r="N113" s="95">
        <f t="shared" si="32"/>
        <v>261240.24800333451</v>
      </c>
      <c r="O113" s="95">
        <f t="shared" si="34"/>
        <v>371882.30573115993</v>
      </c>
      <c r="U113" s="60"/>
      <c r="V113" s="60"/>
      <c r="W113" s="60"/>
      <c r="X113" s="60"/>
      <c r="Y113" s="60"/>
    </row>
    <row r="114" spans="1:25" x14ac:dyDescent="0.25">
      <c r="A114" s="95">
        <v>21</v>
      </c>
      <c r="B114" s="95">
        <f t="shared" si="35"/>
        <v>2034</v>
      </c>
      <c r="C114" s="367">
        <f t="shared" si="40"/>
        <v>2520000</v>
      </c>
      <c r="D114" s="368">
        <f>'CO '!B1744+'VT '!B339</f>
        <v>451548802.38249445</v>
      </c>
      <c r="E114" s="369">
        <f t="shared" si="44"/>
        <v>233250.22143154865</v>
      </c>
      <c r="F114" s="367">
        <f t="shared" si="38"/>
        <v>41795181.802725174</v>
      </c>
      <c r="G114" s="371">
        <f t="shared" si="45"/>
        <v>449028802.38249445</v>
      </c>
      <c r="H114" s="371">
        <f t="shared" si="42"/>
        <v>41561931.581293628</v>
      </c>
      <c r="I114" s="371">
        <f t="shared" si="36"/>
        <v>4731867617.0274467</v>
      </c>
      <c r="J114" s="371">
        <f t="shared" si="37"/>
        <v>616494201.99237132</v>
      </c>
      <c r="K114" s="95">
        <f t="shared" si="33"/>
        <v>9.2559611679185971E-2</v>
      </c>
      <c r="L114" s="555">
        <f>'CO '!H1742+'VT '!E337</f>
        <v>245773596.90924841</v>
      </c>
      <c r="M114" s="95">
        <f t="shared" si="39"/>
        <v>22748708.690916814</v>
      </c>
      <c r="N114" s="95">
        <f t="shared" si="32"/>
        <v>233250.22143154865</v>
      </c>
      <c r="O114" s="95">
        <f t="shared" si="34"/>
        <v>341998.90616347734</v>
      </c>
      <c r="U114" s="60"/>
      <c r="V114" s="60"/>
      <c r="W114" s="60"/>
      <c r="X114" s="60"/>
      <c r="Y114" s="60"/>
    </row>
    <row r="115" spans="1:25" x14ac:dyDescent="0.25">
      <c r="A115" s="95">
        <v>22</v>
      </c>
      <c r="B115" s="95">
        <f t="shared" si="35"/>
        <v>2035</v>
      </c>
      <c r="C115" s="367">
        <f t="shared" si="40"/>
        <v>8750000</v>
      </c>
      <c r="D115" s="368">
        <f>'CO '!B1745+'VT '!B340</f>
        <v>463431098.02400529</v>
      </c>
      <c r="E115" s="369">
        <f t="shared" si="44"/>
        <v>723121.96624364029</v>
      </c>
      <c r="F115" s="367">
        <f t="shared" si="38"/>
        <v>38299109.351036333</v>
      </c>
      <c r="G115" s="371">
        <f t="shared" si="45"/>
        <v>454681098.02400529</v>
      </c>
      <c r="H115" s="371">
        <f t="shared" si="42"/>
        <v>37575987.384792693</v>
      </c>
      <c r="I115" s="371">
        <f t="shared" si="36"/>
        <v>5186548715.0514517</v>
      </c>
      <c r="J115" s="371">
        <f t="shared" si="37"/>
        <v>654070189.37716401</v>
      </c>
      <c r="K115" s="95">
        <f t="shared" si="33"/>
        <v>8.2642510427844609E-2</v>
      </c>
      <c r="L115" s="555">
        <f>'CO '!H1743+'VT '!E338</f>
        <v>251702718.22512504</v>
      </c>
      <c r="M115" s="95">
        <f t="shared" si="39"/>
        <v>20801344.515636731</v>
      </c>
      <c r="N115" s="95">
        <f t="shared" si="32"/>
        <v>723121.96624364029</v>
      </c>
      <c r="O115" s="95">
        <f t="shared" si="34"/>
        <v>314516.85120391223</v>
      </c>
      <c r="U115" s="60"/>
      <c r="V115" s="60"/>
      <c r="W115" s="60"/>
      <c r="X115" s="60"/>
      <c r="Y115" s="60"/>
    </row>
    <row r="116" spans="1:25" x14ac:dyDescent="0.25">
      <c r="A116" s="95">
        <v>23</v>
      </c>
      <c r="B116" s="95">
        <f t="shared" si="35"/>
        <v>2036</v>
      </c>
      <c r="C116" s="367">
        <f t="shared" si="40"/>
        <v>2520000</v>
      </c>
      <c r="D116" s="368">
        <f>'CO '!B1746+'VT '!B341</f>
        <v>475546392.22356641</v>
      </c>
      <c r="E116" s="369">
        <f t="shared" si="44"/>
        <v>185945.6484626504</v>
      </c>
      <c r="F116" s="367">
        <f t="shared" si="38"/>
        <v>35089596.141303547</v>
      </c>
      <c r="G116" s="371">
        <f t="shared" si="45"/>
        <v>473026392.22356641</v>
      </c>
      <c r="H116" s="371">
        <f t="shared" si="42"/>
        <v>34903650.492840894</v>
      </c>
      <c r="I116" s="371">
        <f t="shared" si="36"/>
        <v>5659575107.2750177</v>
      </c>
      <c r="J116" s="371">
        <f t="shared" si="37"/>
        <v>688973839.87000489</v>
      </c>
      <c r="K116" s="95">
        <f t="shared" si="33"/>
        <v>7.3787955739146982E-2</v>
      </c>
      <c r="L116" s="555">
        <f>'CO '!H1744+'VT '!E339</f>
        <v>257703897.39266446</v>
      </c>
      <c r="M116" s="95">
        <f t="shared" si="39"/>
        <v>19015443.774615601</v>
      </c>
      <c r="N116" s="95">
        <f t="shared" si="32"/>
        <v>185945.6484626504</v>
      </c>
      <c r="O116" s="95">
        <f t="shared" si="34"/>
        <v>289243.17566074076</v>
      </c>
      <c r="U116" s="60"/>
      <c r="V116" s="60"/>
      <c r="W116" s="60"/>
      <c r="X116" s="60"/>
      <c r="Y116" s="60"/>
    </row>
    <row r="117" spans="1:25" x14ac:dyDescent="0.25">
      <c r="A117" s="95">
        <v>24</v>
      </c>
      <c r="B117" s="95">
        <f t="shared" si="35"/>
        <v>2037</v>
      </c>
      <c r="C117" s="367">
        <f t="shared" si="40"/>
        <v>2520000</v>
      </c>
      <c r="D117" s="368">
        <f>'CO '!B1747+'VT '!B342</f>
        <v>487891640.00054669</v>
      </c>
      <c r="E117" s="369">
        <f t="shared" si="44"/>
        <v>166022.90041308067</v>
      </c>
      <c r="F117" s="367">
        <f t="shared" si="38"/>
        <v>32143327.444518007</v>
      </c>
      <c r="G117" s="371">
        <f t="shared" si="45"/>
        <v>485371640.00054669</v>
      </c>
      <c r="H117" s="371">
        <f t="shared" si="42"/>
        <v>31977304.544104926</v>
      </c>
      <c r="I117" s="371">
        <f t="shared" si="36"/>
        <v>6144946747.2755642</v>
      </c>
      <c r="J117" s="371">
        <f t="shared" si="37"/>
        <v>720951144.41410983</v>
      </c>
      <c r="K117" s="95">
        <f t="shared" si="33"/>
        <v>6.5882103338524081E-2</v>
      </c>
      <c r="L117" s="555">
        <f>'CO '!H1745+'VT '!E340</f>
        <v>263770845.88448036</v>
      </c>
      <c r="M117" s="95">
        <f t="shared" si="39"/>
        <v>17377778.126251243</v>
      </c>
      <c r="N117" s="95">
        <f t="shared" si="32"/>
        <v>166022.90041308067</v>
      </c>
      <c r="O117" s="95">
        <f t="shared" si="34"/>
        <v>266000.42047371686</v>
      </c>
      <c r="U117" s="60"/>
      <c r="V117" s="60"/>
      <c r="W117" s="60"/>
      <c r="X117" s="60"/>
      <c r="Y117" s="60"/>
    </row>
    <row r="118" spans="1:25" x14ac:dyDescent="0.25">
      <c r="A118" s="95">
        <v>25</v>
      </c>
      <c r="B118" s="95">
        <f t="shared" si="35"/>
        <v>2038</v>
      </c>
      <c r="C118" s="367">
        <f t="shared" si="40"/>
        <v>2520000</v>
      </c>
      <c r="D118" s="368">
        <f>'CO '!B1748+'VT '!B343</f>
        <v>500462788.69152665</v>
      </c>
      <c r="E118" s="369">
        <f t="shared" si="44"/>
        <v>148234.73251167918</v>
      </c>
      <c r="F118" s="367">
        <f t="shared" ref="F118:F125" si="46">D118*K118</f>
        <v>29438876.037197407</v>
      </c>
      <c r="G118" s="371">
        <f t="shared" si="45"/>
        <v>497942788.69152665</v>
      </c>
      <c r="H118" s="371">
        <f t="shared" si="42"/>
        <v>29290641.304685727</v>
      </c>
      <c r="I118" s="371">
        <f t="shared" si="36"/>
        <v>6642889535.9670906</v>
      </c>
      <c r="J118" s="371">
        <f t="shared" si="37"/>
        <v>750241785.71879554</v>
      </c>
      <c r="K118" s="95">
        <f t="shared" si="33"/>
        <v>5.8823306552253637E-2</v>
      </c>
      <c r="L118" s="555">
        <f>'CO '!H1746+'VT '!E341</f>
        <v>269896332.51985574</v>
      </c>
      <c r="M118" s="95">
        <f t="shared" si="39"/>
        <v>15876194.705144456</v>
      </c>
      <c r="N118" s="95">
        <f t="shared" si="32"/>
        <v>148234.73251167918</v>
      </c>
      <c r="O118" s="95">
        <f t="shared" si="34"/>
        <v>244625.38668565027</v>
      </c>
      <c r="U118" s="60"/>
      <c r="V118" s="60"/>
      <c r="W118" s="60"/>
      <c r="X118" s="60"/>
      <c r="Y118" s="60"/>
    </row>
    <row r="119" spans="1:25" x14ac:dyDescent="0.25">
      <c r="A119" s="95">
        <v>26</v>
      </c>
      <c r="B119" s="95">
        <f t="shared" si="35"/>
        <v>2039</v>
      </c>
      <c r="C119" s="367">
        <f t="shared" si="40"/>
        <v>43750000</v>
      </c>
      <c r="D119" s="368">
        <f>'CO '!B1749+'VT '!B344</f>
        <v>514078627.41055143</v>
      </c>
      <c r="E119" s="369">
        <f t="shared" si="44"/>
        <v>2297785.4121974078</v>
      </c>
      <c r="F119" s="367">
        <f t="shared" si="46"/>
        <v>26999825.617975578</v>
      </c>
      <c r="G119" s="371">
        <f t="shared" si="45"/>
        <v>470328627.41055143</v>
      </c>
      <c r="H119" s="371">
        <f t="shared" si="42"/>
        <v>24702040.20577817</v>
      </c>
      <c r="I119" s="371">
        <f t="shared" si="36"/>
        <v>7113218163.3776417</v>
      </c>
      <c r="J119" s="371">
        <f t="shared" si="37"/>
        <v>774943825.92457366</v>
      </c>
      <c r="K119" s="95">
        <f t="shared" si="33"/>
        <v>5.2520809421655032E-2</v>
      </c>
      <c r="L119" s="555">
        <f>'CO '!H1747+'VT '!E342</f>
        <v>276072078.50572491</v>
      </c>
      <c r="M119" s="95">
        <f t="shared" si="39"/>
        <v>14499529.021839364</v>
      </c>
      <c r="N119" s="95">
        <f t="shared" si="32"/>
        <v>2297785.4121974078</v>
      </c>
      <c r="O119" s="95">
        <f t="shared" si="34"/>
        <v>224967.98954126769</v>
      </c>
      <c r="U119" s="60"/>
      <c r="V119" s="60"/>
      <c r="W119" s="60"/>
      <c r="X119" s="60"/>
      <c r="Y119" s="60"/>
    </row>
    <row r="120" spans="1:25" x14ac:dyDescent="0.25">
      <c r="A120" s="95">
        <v>27</v>
      </c>
      <c r="B120" s="95">
        <f t="shared" si="35"/>
        <v>2040</v>
      </c>
      <c r="C120" s="367">
        <f t="shared" si="40"/>
        <v>2520000</v>
      </c>
      <c r="D120" s="368">
        <f>'CO '!B1750+'VT '!B345</f>
        <v>527147746.64852595</v>
      </c>
      <c r="E120" s="369">
        <f t="shared" si="44"/>
        <v>118171.8211987238</v>
      </c>
      <c r="F120" s="367">
        <f t="shared" si="46"/>
        <v>24719844.945341177</v>
      </c>
      <c r="G120" s="371">
        <f t="shared" si="45"/>
        <v>524627746.64852595</v>
      </c>
      <c r="H120" s="371">
        <f t="shared" si="42"/>
        <v>24601673.124142453</v>
      </c>
      <c r="I120" s="371">
        <f t="shared" si="36"/>
        <v>7637845910.0261679</v>
      </c>
      <c r="J120" s="371">
        <f t="shared" si="37"/>
        <v>799545499.04871607</v>
      </c>
      <c r="K120" s="95">
        <f t="shared" si="33"/>
        <v>4.6893579840763415E-2</v>
      </c>
      <c r="L120" s="555">
        <f>'CO '!H1748+'VT '!E343</f>
        <v>282288640.35186005</v>
      </c>
      <c r="M120" s="95">
        <f t="shared" si="39"/>
        <v>13237524.894480499</v>
      </c>
      <c r="N120" s="95">
        <f t="shared" si="32"/>
        <v>118171.8211987238</v>
      </c>
      <c r="O120" s="95">
        <f t="shared" si="34"/>
        <v>206890.20466741579</v>
      </c>
      <c r="U120" s="60"/>
      <c r="V120" s="60"/>
      <c r="W120" s="60"/>
      <c r="X120" s="60"/>
      <c r="Y120" s="60"/>
    </row>
    <row r="121" spans="1:25" x14ac:dyDescent="0.25">
      <c r="A121" s="95">
        <v>28</v>
      </c>
      <c r="B121" s="95">
        <f t="shared" si="35"/>
        <v>2041</v>
      </c>
      <c r="C121" s="367">
        <f t="shared" si="40"/>
        <v>2520000</v>
      </c>
      <c r="D121" s="368">
        <f>'CO '!B1751+'VT '!B346</f>
        <v>537172439.70469642</v>
      </c>
      <c r="E121" s="369">
        <f t="shared" si="44"/>
        <v>105510.5546417177</v>
      </c>
      <c r="F121" s="367">
        <f t="shared" si="46"/>
        <v>22491016.687098086</v>
      </c>
      <c r="G121" s="371">
        <f t="shared" si="45"/>
        <v>534652439.70469642</v>
      </c>
      <c r="H121" s="371">
        <f t="shared" si="42"/>
        <v>22385506.13245637</v>
      </c>
      <c r="I121" s="371">
        <f t="shared" si="36"/>
        <v>8172498349.7308645</v>
      </c>
      <c r="J121" s="371">
        <f t="shared" si="37"/>
        <v>821931005.18117249</v>
      </c>
      <c r="K121" s="95">
        <f t="shared" si="33"/>
        <v>4.1869267714967337E-2</v>
      </c>
      <c r="L121" s="555">
        <f>'CO '!H1749+'VT '!E344</f>
        <v>289359254.62069458</v>
      </c>
      <c r="M121" s="95">
        <f t="shared" si="39"/>
        <v>12115260.097517261</v>
      </c>
      <c r="N121" s="95">
        <f t="shared" si="32"/>
        <v>105510.5546417177</v>
      </c>
      <c r="O121" s="95">
        <f t="shared" si="34"/>
        <v>190265.09893521274</v>
      </c>
      <c r="U121" s="60"/>
      <c r="V121" s="60"/>
      <c r="W121" s="60"/>
      <c r="X121" s="60"/>
      <c r="Y121" s="60"/>
    </row>
    <row r="122" spans="1:25" x14ac:dyDescent="0.25">
      <c r="A122" s="95">
        <v>29</v>
      </c>
      <c r="B122" s="95">
        <f t="shared" si="35"/>
        <v>2042</v>
      </c>
      <c r="C122" s="367">
        <f t="shared" si="40"/>
        <v>2520000</v>
      </c>
      <c r="D122" s="368">
        <f>'CO '!B1752+'VT '!B347</f>
        <v>550558278.93094718</v>
      </c>
      <c r="E122" s="369">
        <f t="shared" si="44"/>
        <v>94205.852358676493</v>
      </c>
      <c r="F122" s="367">
        <f t="shared" si="46"/>
        <v>20581671.404688828</v>
      </c>
      <c r="G122" s="371">
        <f t="shared" si="45"/>
        <v>548038278.93094718</v>
      </c>
      <c r="H122" s="371">
        <f t="shared" si="42"/>
        <v>20487465.552330151</v>
      </c>
      <c r="I122" s="371">
        <f t="shared" si="36"/>
        <v>8720536628.6618118</v>
      </c>
      <c r="J122" s="371">
        <f t="shared" si="37"/>
        <v>842418470.73350263</v>
      </c>
      <c r="K122" s="95">
        <f t="shared" si="33"/>
        <v>3.7383274745506546E-2</v>
      </c>
      <c r="L122" s="555">
        <f>'CO '!H1750+'VT '!E345</f>
        <v>295686792.67497337</v>
      </c>
      <c r="M122" s="95">
        <f t="shared" si="39"/>
        <v>11053740.609186161</v>
      </c>
      <c r="N122" s="95">
        <f t="shared" si="32"/>
        <v>94205.852358676493</v>
      </c>
      <c r="O122" s="95">
        <f t="shared" si="34"/>
        <v>174975.93919934737</v>
      </c>
      <c r="U122" s="60"/>
      <c r="V122" s="60"/>
      <c r="W122" s="60"/>
      <c r="X122" s="60"/>
      <c r="Y122" s="60"/>
    </row>
    <row r="123" spans="1:25" x14ac:dyDescent="0.25">
      <c r="A123" s="95">
        <v>30</v>
      </c>
      <c r="B123" s="95">
        <f t="shared" si="35"/>
        <v>2043</v>
      </c>
      <c r="C123" s="367">
        <f t="shared" si="40"/>
        <v>8750000</v>
      </c>
      <c r="D123" s="368">
        <f>'CO '!B1753+'VT '!B348</f>
        <v>564133143.11150837</v>
      </c>
      <c r="E123" s="369">
        <f t="shared" si="44"/>
        <v>292056.83394926984</v>
      </c>
      <c r="F123" s="367">
        <f t="shared" si="46"/>
        <v>18829593.108913999</v>
      </c>
      <c r="G123" s="372">
        <f t="shared" si="45"/>
        <v>555383143.11150837</v>
      </c>
      <c r="H123" s="372">
        <f t="shared" si="42"/>
        <v>18537536.274964727</v>
      </c>
      <c r="I123" s="372">
        <f t="shared" si="36"/>
        <v>9275919771.7733192</v>
      </c>
      <c r="J123" s="371">
        <f t="shared" si="37"/>
        <v>860956007.00846732</v>
      </c>
      <c r="K123" s="95">
        <f t="shared" si="33"/>
        <v>3.3377923879916553E-2</v>
      </c>
      <c r="L123" s="555">
        <f>'CO '!H1751+'VT '!E346</f>
        <v>302023781.770208</v>
      </c>
      <c r="M123" s="95">
        <f t="shared" si="39"/>
        <v>10080926.797850531</v>
      </c>
      <c r="N123" s="95">
        <f t="shared" si="32"/>
        <v>292056.83394926984</v>
      </c>
      <c r="O123" s="95">
        <f t="shared" si="34"/>
        <v>160915.3726565426</v>
      </c>
      <c r="U123" s="60"/>
      <c r="V123" s="60"/>
      <c r="W123" s="60"/>
      <c r="X123" s="60"/>
      <c r="Y123" s="60"/>
    </row>
    <row r="124" spans="1:25" x14ac:dyDescent="0.25">
      <c r="A124" s="95">
        <v>31</v>
      </c>
      <c r="B124" s="95">
        <f t="shared" si="35"/>
        <v>2044</v>
      </c>
      <c r="C124" s="367">
        <f t="shared" si="40"/>
        <v>2520000</v>
      </c>
      <c r="D124" s="368">
        <f>'CO '!B1754+'VT '!B349</f>
        <v>577884218.31728828</v>
      </c>
      <c r="E124" s="369">
        <f>C124*K124</f>
        <v>75100.32872981226</v>
      </c>
      <c r="F124" s="367">
        <f t="shared" si="46"/>
        <v>17221942.366428152</v>
      </c>
      <c r="G124" s="372">
        <f>D124-C124</f>
        <v>575364218.31728828</v>
      </c>
      <c r="H124" s="372">
        <f>F124-E124</f>
        <v>17146842.03769834</v>
      </c>
      <c r="I124" s="372">
        <f>I123+G124</f>
        <v>9851283990.0906067</v>
      </c>
      <c r="J124" s="371">
        <f>J123+H124</f>
        <v>878102849.0461657</v>
      </c>
      <c r="K124" s="95">
        <f>1/(1+$E$36)^A124</f>
        <v>2.9801717749925499E-2</v>
      </c>
      <c r="L124" s="555">
        <f>'CO '!H1752+'VT '!E347</f>
        <v>308355161.25842428</v>
      </c>
      <c r="M124" s="95">
        <f t="shared" si="39"/>
        <v>9189513.4825563226</v>
      </c>
      <c r="N124" s="95">
        <f t="shared" si="32"/>
        <v>75100.32872981226</v>
      </c>
      <c r="O124" s="95">
        <f t="shared" si="34"/>
        <v>147984.67306807049</v>
      </c>
      <c r="U124" s="60"/>
      <c r="V124" s="60"/>
      <c r="W124" s="60"/>
      <c r="X124" s="60"/>
      <c r="Y124" s="60"/>
    </row>
    <row r="125" spans="1:25" ht="15.75" thickBot="1" x14ac:dyDescent="0.3">
      <c r="A125" s="95">
        <v>32</v>
      </c>
      <c r="B125" s="95">
        <f t="shared" si="35"/>
        <v>2045</v>
      </c>
      <c r="C125" s="367">
        <f t="shared" si="40"/>
        <v>2520000</v>
      </c>
      <c r="D125" s="368">
        <f>'CO '!B1755+'VT '!B350</f>
        <v>591796463.64264107</v>
      </c>
      <c r="E125" s="369">
        <f>C125*K125</f>
        <v>67053.864937332357</v>
      </c>
      <c r="F125" s="367">
        <f t="shared" si="46"/>
        <v>15746920.691858957</v>
      </c>
      <c r="G125" s="372">
        <f>D125-C125</f>
        <v>589276463.64264107</v>
      </c>
      <c r="H125" s="372">
        <f>F125-E125</f>
        <v>15679866.826921625</v>
      </c>
      <c r="I125" s="372">
        <f>I124+G125</f>
        <v>10440560453.733248</v>
      </c>
      <c r="J125" s="371">
        <f>J124+H125</f>
        <v>893782715.87308729</v>
      </c>
      <c r="K125" s="95">
        <f>1/(1+$E$36)^A125</f>
        <v>2.6608676562433473E-2</v>
      </c>
      <c r="L125" s="555">
        <f>'CO '!H1753+'VT '!E348</f>
        <v>314663931.90880972</v>
      </c>
      <c r="M125" s="95">
        <f t="shared" si="39"/>
        <v>8372790.7900251076</v>
      </c>
      <c r="N125" s="95">
        <f t="shared" si="32"/>
        <v>67053.864937332357</v>
      </c>
      <c r="O125" s="95">
        <f t="shared" si="34"/>
        <v>136093.04755367193</v>
      </c>
      <c r="U125" s="60"/>
      <c r="V125" s="60"/>
      <c r="W125" s="60"/>
      <c r="X125" s="60"/>
      <c r="Y125" s="60"/>
    </row>
    <row r="126" spans="1:25" ht="15.75" thickBot="1" x14ac:dyDescent="0.3">
      <c r="A126" s="361"/>
      <c r="B126" s="373" t="s">
        <v>355</v>
      </c>
      <c r="C126" s="374">
        <f t="shared" ref="C126:H126" si="47">SUM(C93:C125)</f>
        <v>1207210000</v>
      </c>
      <c r="D126" s="374">
        <f t="shared" si="47"/>
        <v>11647770453.733244</v>
      </c>
      <c r="E126" s="374">
        <f t="shared" si="47"/>
        <v>843569218.98397577</v>
      </c>
      <c r="F126" s="374">
        <f t="shared" si="47"/>
        <v>1737351934.8570626</v>
      </c>
      <c r="G126" s="374">
        <f t="shared" si="47"/>
        <v>10440560453.733248</v>
      </c>
      <c r="H126" s="374">
        <f t="shared" si="47"/>
        <v>893782715.87308729</v>
      </c>
      <c r="I126" s="374"/>
      <c r="J126" s="375"/>
      <c r="K126" s="545">
        <f>SUM(K93:K125)</f>
        <v>9.1115943619797157</v>
      </c>
      <c r="L126" s="546">
        <f>SUM(L94:L125)</f>
        <v>6367226840.5152569</v>
      </c>
      <c r="M126" s="556">
        <f>SUM(M94:M125)</f>
        <v>1011424852.8235753</v>
      </c>
      <c r="N126" s="557">
        <f>SUM(N93:N125)</f>
        <v>843569218.98397577</v>
      </c>
      <c r="O126" s="558">
        <f>SUM(O96:O125)</f>
        <v>17666970.330968384</v>
      </c>
      <c r="U126" s="553"/>
      <c r="V126" s="553"/>
      <c r="W126" s="553"/>
      <c r="X126" s="60"/>
      <c r="Y126" s="553"/>
    </row>
    <row r="127" spans="1:25" x14ac:dyDescent="0.25">
      <c r="L127" s="506"/>
      <c r="V127" s="60"/>
    </row>
    <row r="128" spans="1:25" x14ac:dyDescent="0.25">
      <c r="E128" t="s">
        <v>32</v>
      </c>
      <c r="F128" s="376">
        <f>H126</f>
        <v>893782715.87308729</v>
      </c>
      <c r="G128">
        <f>F128/1000000</f>
        <v>893.78271587308734</v>
      </c>
      <c r="H128" t="s">
        <v>356</v>
      </c>
      <c r="L128" s="70" t="s">
        <v>539</v>
      </c>
      <c r="W128" s="546"/>
    </row>
    <row r="129" spans="1:13" x14ac:dyDescent="0.25">
      <c r="E129" s="377">
        <v>0.12</v>
      </c>
      <c r="F129" s="378" t="s">
        <v>34</v>
      </c>
      <c r="G129" s="392">
        <f>IRR(G93:G125)</f>
        <v>0.20294183969821944</v>
      </c>
      <c r="H129" s="389"/>
      <c r="L129" s="514" t="s">
        <v>524</v>
      </c>
      <c r="M129" s="514">
        <f>N126/O126</f>
        <v>47.748380349362201</v>
      </c>
    </row>
    <row r="130" spans="1:13" x14ac:dyDescent="0.25">
      <c r="F130" s="379" t="s">
        <v>35</v>
      </c>
      <c r="G130" s="390">
        <f>F126/E126</f>
        <v>2.059525046385156</v>
      </c>
      <c r="L130" s="514" t="s">
        <v>525</v>
      </c>
      <c r="M130" s="514">
        <f>F126/O126</f>
        <v>98.338985253836256</v>
      </c>
    </row>
    <row r="131" spans="1:13" x14ac:dyDescent="0.25">
      <c r="F131" s="380" t="s">
        <v>36</v>
      </c>
      <c r="G131" s="391">
        <f>F96/E93</f>
        <v>0.28395895983267133</v>
      </c>
      <c r="L131" s="514" t="s">
        <v>526</v>
      </c>
      <c r="M131" s="514">
        <f>M126/O126</f>
        <v>57.249479332098694</v>
      </c>
    </row>
    <row r="132" spans="1:13" x14ac:dyDescent="0.25">
      <c r="F132" s="380" t="s">
        <v>38</v>
      </c>
      <c r="G132" s="388">
        <f>G131</f>
        <v>0.28395895983267133</v>
      </c>
      <c r="H132" s="108"/>
    </row>
    <row r="133" spans="1:13" x14ac:dyDescent="0.25">
      <c r="F133" s="380" t="s">
        <v>45</v>
      </c>
      <c r="G133" s="387">
        <f>IF(J93&gt;0,A93,IF(J94&gt;0,A94,IF(J95&gt;0,A95,IF(J96&gt;0,A96,IF(J97&gt;0,A97,IF(J98&gt;0,A98,IF(J99&gt;0,A99,IF(J100&gt;0,A100,IF(0&lt;J101,A101,IF(0&lt;J102,A102,IF(0&lt;J103,A103,IF(0&lt;J104,A104,IF(0&lt;J105,A105,IF(J106&gt;0,A106,IF(J107&gt;0,A107,IF(J108&gt;0,A108,IF(J109&gt;0,A109,IF(J110&gt;0,A110,IF(J111&gt;0,A111,IF(J112&gt;0,A112,IF(J113&gt;0,A113,IF(J114&gt;0,A114,IF(J115&gt;0,A115,IF(J116&gt;0,A116,IF(J117&gt;0,A117,IF(J118&gt;0,A118,IF(J119&gt;0,A119,IF(J120&gt;0,A120,IF(J121&gt;0,A121,IF(J122&gt;0,A122,IF(J123&gt;0,A123,"NO PASA LA EVALUACIÓN")))))))))))))))))))))))))))))))</f>
        <v>12</v>
      </c>
      <c r="L133" s="70" t="s">
        <v>538</v>
      </c>
    </row>
    <row r="134" spans="1:13" x14ac:dyDescent="0.25">
      <c r="F134" s="257"/>
      <c r="G134" s="510"/>
      <c r="L134" s="514" t="s">
        <v>524</v>
      </c>
      <c r="M134" s="514">
        <f>M129/'DATOS DE ENTRADA'!C23</f>
        <v>0.68211971927660286</v>
      </c>
    </row>
    <row r="135" spans="1:13" x14ac:dyDescent="0.25">
      <c r="L135" s="514" t="s">
        <v>525</v>
      </c>
      <c r="M135" s="514">
        <f>M130/'DATOS DE ENTRADA'!C23</f>
        <v>1.404842646483375</v>
      </c>
    </row>
    <row r="136" spans="1:13" x14ac:dyDescent="0.25">
      <c r="A136" t="s">
        <v>365</v>
      </c>
      <c r="G136" s="108"/>
      <c r="H136" s="108"/>
      <c r="I136" s="108"/>
      <c r="L136" s="514" t="s">
        <v>526</v>
      </c>
      <c r="M136" s="514">
        <f>M131/'DATOS DE ENTRADA'!C23</f>
        <v>0.8178497047442671</v>
      </c>
    </row>
    <row r="137" spans="1:13" x14ac:dyDescent="0.25">
      <c r="A137" t="s">
        <v>364</v>
      </c>
      <c r="G137" s="108"/>
      <c r="H137" s="108"/>
      <c r="I137" s="108"/>
      <c r="J137" s="108"/>
    </row>
    <row r="138" spans="1:13" x14ac:dyDescent="0.25">
      <c r="A138" s="381" t="s">
        <v>357</v>
      </c>
      <c r="B138" s="381" t="s">
        <v>358</v>
      </c>
      <c r="C138" s="382" t="s">
        <v>359</v>
      </c>
      <c r="D138" s="382" t="s">
        <v>360</v>
      </c>
      <c r="E138" s="382" t="s">
        <v>361</v>
      </c>
      <c r="F138" s="382" t="s">
        <v>362</v>
      </c>
      <c r="G138" s="108"/>
      <c r="H138" s="108"/>
      <c r="I138" s="108"/>
      <c r="J138" s="108"/>
    </row>
    <row r="139" spans="1:13" x14ac:dyDescent="0.25">
      <c r="A139" s="95" t="s">
        <v>369</v>
      </c>
      <c r="B139" s="95">
        <v>1</v>
      </c>
      <c r="C139" s="371">
        <f>C149</f>
        <v>70</v>
      </c>
      <c r="D139" s="383" t="s">
        <v>363</v>
      </c>
      <c r="E139" s="204">
        <f>30000*1.2</f>
        <v>36000</v>
      </c>
      <c r="F139" s="371">
        <f>E139*C139</f>
        <v>2520000</v>
      </c>
      <c r="G139" s="108"/>
      <c r="H139" s="108"/>
      <c r="I139" s="108"/>
      <c r="J139" s="108"/>
    </row>
    <row r="140" spans="1:13" x14ac:dyDescent="0.25">
      <c r="E140" s="95" t="s">
        <v>53</v>
      </c>
      <c r="F140" s="371">
        <f>SUM(F139:F139)</f>
        <v>2520000</v>
      </c>
      <c r="G140" s="108"/>
      <c r="H140" s="108"/>
      <c r="I140" s="108"/>
      <c r="J140" s="108"/>
    </row>
    <row r="141" spans="1:13" x14ac:dyDescent="0.25">
      <c r="G141" s="108"/>
      <c r="H141" s="108"/>
      <c r="I141" s="108"/>
      <c r="J141" s="108"/>
    </row>
    <row r="142" spans="1:13" x14ac:dyDescent="0.25">
      <c r="A142" t="s">
        <v>366</v>
      </c>
    </row>
    <row r="143" spans="1:13" x14ac:dyDescent="0.25">
      <c r="A143" s="381" t="s">
        <v>357</v>
      </c>
      <c r="B143" s="381" t="s">
        <v>358</v>
      </c>
      <c r="C143" s="382" t="s">
        <v>359</v>
      </c>
      <c r="D143" s="382" t="s">
        <v>360</v>
      </c>
      <c r="E143" s="382" t="s">
        <v>361</v>
      </c>
      <c r="F143" s="382" t="s">
        <v>362</v>
      </c>
    </row>
    <row r="144" spans="1:13" x14ac:dyDescent="0.25">
      <c r="A144" s="95" t="s">
        <v>370</v>
      </c>
      <c r="B144" s="95">
        <v>4</v>
      </c>
      <c r="C144" s="371">
        <f>C149</f>
        <v>70</v>
      </c>
      <c r="D144" s="383" t="s">
        <v>363</v>
      </c>
      <c r="E144" s="204">
        <v>125000</v>
      </c>
      <c r="F144" s="204">
        <f>E144*C144</f>
        <v>8750000</v>
      </c>
    </row>
    <row r="145" spans="1:6" x14ac:dyDescent="0.25">
      <c r="A145" s="108"/>
      <c r="D145" s="384"/>
      <c r="E145" s="95" t="s">
        <v>53</v>
      </c>
      <c r="F145" s="371">
        <f>SUM(F144:F144)</f>
        <v>8750000</v>
      </c>
    </row>
    <row r="147" spans="1:6" x14ac:dyDescent="0.25">
      <c r="A147" t="s">
        <v>367</v>
      </c>
    </row>
    <row r="148" spans="1:6" x14ac:dyDescent="0.25">
      <c r="A148" s="381" t="s">
        <v>357</v>
      </c>
      <c r="B148" s="381" t="s">
        <v>358</v>
      </c>
      <c r="C148" s="382" t="s">
        <v>359</v>
      </c>
      <c r="D148" s="382" t="s">
        <v>360</v>
      </c>
      <c r="E148" s="382" t="s">
        <v>361</v>
      </c>
      <c r="F148" s="382" t="s">
        <v>362</v>
      </c>
    </row>
    <row r="149" spans="1:6" x14ac:dyDescent="0.25">
      <c r="A149" s="95" t="s">
        <v>371</v>
      </c>
      <c r="B149" s="95">
        <v>8</v>
      </c>
      <c r="C149" s="371">
        <f>'DATOS DE ENTRADA'!C23</f>
        <v>70</v>
      </c>
      <c r="D149" s="383" t="s">
        <v>363</v>
      </c>
      <c r="E149" s="204">
        <v>500000</v>
      </c>
      <c r="F149" s="371">
        <f>E149*C149</f>
        <v>35000000</v>
      </c>
    </row>
    <row r="150" spans="1:6" x14ac:dyDescent="0.25">
      <c r="A150" s="108"/>
      <c r="D150" s="384"/>
      <c r="E150" s="95" t="s">
        <v>53</v>
      </c>
      <c r="F150" s="371">
        <f>SUM(F149:F149)</f>
        <v>35000000</v>
      </c>
    </row>
    <row r="151" spans="1:6" x14ac:dyDescent="0.25">
      <c r="A151" s="385" t="s">
        <v>368</v>
      </c>
      <c r="C151" s="108"/>
      <c r="D151" s="108"/>
      <c r="E151" s="108"/>
      <c r="F151" s="347"/>
    </row>
    <row r="152" spans="1:6" x14ac:dyDescent="0.25">
      <c r="A152" s="381" t="s">
        <v>357</v>
      </c>
      <c r="B152" s="381" t="s">
        <v>358</v>
      </c>
      <c r="C152" s="382" t="s">
        <v>359</v>
      </c>
      <c r="D152" s="382" t="s">
        <v>360</v>
      </c>
      <c r="E152" s="382" t="s">
        <v>361</v>
      </c>
      <c r="F152" s="382" t="s">
        <v>362</v>
      </c>
    </row>
    <row r="153" spans="1:6" x14ac:dyDescent="0.25">
      <c r="A153" s="123" t="s">
        <v>372</v>
      </c>
      <c r="B153" s="95">
        <v>16</v>
      </c>
      <c r="C153" s="204">
        <f>C149</f>
        <v>70</v>
      </c>
      <c r="D153" s="386" t="s">
        <v>363</v>
      </c>
      <c r="E153" s="371">
        <v>1900000</v>
      </c>
      <c r="F153" s="371">
        <f>C153*E153</f>
        <v>133000000</v>
      </c>
    </row>
    <row r="154" spans="1:6" x14ac:dyDescent="0.25">
      <c r="A154" s="47"/>
      <c r="E154" s="162" t="s">
        <v>53</v>
      </c>
      <c r="F154" s="371">
        <f>SUM(F153:F153)</f>
        <v>133000000</v>
      </c>
    </row>
    <row r="158" spans="1:6" x14ac:dyDescent="0.25">
      <c r="A158" t="s">
        <v>500</v>
      </c>
    </row>
    <row r="159" spans="1:6" ht="15.75" x14ac:dyDescent="0.25">
      <c r="A159" s="499" t="s">
        <v>501</v>
      </c>
      <c r="B159" s="499">
        <v>1</v>
      </c>
    </row>
    <row r="160" spans="1:6" ht="15.75" x14ac:dyDescent="0.25">
      <c r="A160" s="499" t="s">
        <v>502</v>
      </c>
      <c r="B160" s="499">
        <v>1.75</v>
      </c>
    </row>
    <row r="161" spans="1:10" ht="15.75" x14ac:dyDescent="0.25">
      <c r="A161" s="499" t="s">
        <v>503</v>
      </c>
      <c r="B161" s="499">
        <v>1.75</v>
      </c>
    </row>
    <row r="162" spans="1:10" ht="15.75" x14ac:dyDescent="0.25">
      <c r="A162" s="499" t="s">
        <v>504</v>
      </c>
      <c r="B162" s="499">
        <v>2.5</v>
      </c>
    </row>
    <row r="163" spans="1:10" ht="15.75" x14ac:dyDescent="0.25">
      <c r="A163" s="499" t="s">
        <v>505</v>
      </c>
      <c r="B163" s="499">
        <v>3</v>
      </c>
    </row>
    <row r="165" spans="1:10" x14ac:dyDescent="0.25">
      <c r="A165" s="503" t="s">
        <v>18</v>
      </c>
      <c r="B165" s="68" t="s">
        <v>45</v>
      </c>
      <c r="C165" s="125" t="s">
        <v>46</v>
      </c>
      <c r="D165" s="125" t="s">
        <v>47</v>
      </c>
      <c r="E165" s="125" t="s">
        <v>48</v>
      </c>
      <c r="F165" s="125" t="s">
        <v>49</v>
      </c>
      <c r="G165" s="125" t="s">
        <v>50</v>
      </c>
      <c r="H165" s="125" t="s">
        <v>51</v>
      </c>
      <c r="I165" s="125" t="s">
        <v>52</v>
      </c>
      <c r="J165" s="500" t="s">
        <v>53</v>
      </c>
    </row>
    <row r="166" spans="1:10" x14ac:dyDescent="0.25">
      <c r="A166" s="125">
        <v>2013</v>
      </c>
      <c r="B166" s="41">
        <v>0</v>
      </c>
      <c r="C166" s="502">
        <f>'2 CARRILES HCM'!C40</f>
        <v>3595.5</v>
      </c>
      <c r="D166" s="502">
        <f>'2 CARRILES HCM'!D40</f>
        <v>243</v>
      </c>
      <c r="E166" s="502">
        <f>'2 CARRILES HCM'!E40</f>
        <v>306</v>
      </c>
      <c r="F166" s="502">
        <f>'2 CARRILES HCM'!F40</f>
        <v>90</v>
      </c>
      <c r="G166" s="502">
        <f>'2 CARRILES HCM'!G40</f>
        <v>92.25</v>
      </c>
      <c r="H166" s="502">
        <f>'2 CARRILES HCM'!H40</f>
        <v>45</v>
      </c>
      <c r="I166" s="502">
        <f>'2 CARRILES HCM'!I40</f>
        <v>128.25</v>
      </c>
      <c r="J166" s="33">
        <f>SUM(C166:I166)</f>
        <v>4500</v>
      </c>
    </row>
    <row r="167" spans="1:10" x14ac:dyDescent="0.25">
      <c r="A167" s="125">
        <v>2014</v>
      </c>
      <c r="B167" s="41">
        <v>1</v>
      </c>
      <c r="C167" s="502">
        <f>'2 CARRILES HCM'!C41</f>
        <v>3703.3650000000002</v>
      </c>
      <c r="D167" s="502">
        <f>'2 CARRILES HCM'!D41</f>
        <v>250.29000000000002</v>
      </c>
      <c r="E167" s="502">
        <f>'2 CARRILES HCM'!E41</f>
        <v>315.18</v>
      </c>
      <c r="F167" s="502">
        <f>'2 CARRILES HCM'!F41</f>
        <v>92.7</v>
      </c>
      <c r="G167" s="502">
        <f>'2 CARRILES HCM'!G41</f>
        <v>95.017499999999998</v>
      </c>
      <c r="H167" s="502">
        <f>'2 CARRILES HCM'!H41</f>
        <v>46.35</v>
      </c>
      <c r="I167" s="502">
        <f>'2 CARRILES HCM'!I41</f>
        <v>132.0975</v>
      </c>
      <c r="J167" s="33">
        <f t="shared" ref="J167:J195" si="48">SUM(C167:I167)</f>
        <v>4635</v>
      </c>
    </row>
    <row r="168" spans="1:10" x14ac:dyDescent="0.25">
      <c r="A168" s="125">
        <v>2015</v>
      </c>
      <c r="B168" s="41">
        <v>2</v>
      </c>
      <c r="C168" s="502">
        <f>'2 CARRILES HCM'!C42</f>
        <v>3814.4659499999998</v>
      </c>
      <c r="D168" s="502">
        <f>'2 CARRILES HCM'!D42</f>
        <v>257.7987</v>
      </c>
      <c r="E168" s="502">
        <f>'2 CARRILES HCM'!E42</f>
        <v>324.6354</v>
      </c>
      <c r="F168" s="502">
        <f>'2 CARRILES HCM'!F42</f>
        <v>95.480999999999995</v>
      </c>
      <c r="G168" s="502">
        <f>'2 CARRILES HCM'!G42</f>
        <v>97.868024999999989</v>
      </c>
      <c r="H168" s="502">
        <f>'2 CARRILES HCM'!H42</f>
        <v>47.740499999999997</v>
      </c>
      <c r="I168" s="502">
        <f>'2 CARRILES HCM'!I42</f>
        <v>136.06042499999998</v>
      </c>
      <c r="J168" s="33">
        <f t="shared" si="48"/>
        <v>4774.0499999999984</v>
      </c>
    </row>
    <row r="169" spans="1:10" x14ac:dyDescent="0.25">
      <c r="A169" s="125">
        <v>2016</v>
      </c>
      <c r="B169" s="41">
        <v>3</v>
      </c>
      <c r="C169" s="502">
        <f>'2 CARRILES HCM'!C43</f>
        <v>3928.8999285</v>
      </c>
      <c r="D169" s="502">
        <f>'2 CARRILES HCM'!D43</f>
        <v>265.53266100000002</v>
      </c>
      <c r="E169" s="502">
        <f>'2 CARRILES HCM'!E43</f>
        <v>334.37446199999999</v>
      </c>
      <c r="F169" s="502">
        <f>'2 CARRILES HCM'!F43</f>
        <v>98.345429999999993</v>
      </c>
      <c r="G169" s="502">
        <f>'2 CARRILES HCM'!G43</f>
        <v>100.80406575000001</v>
      </c>
      <c r="H169" s="502">
        <f>'2 CARRILES HCM'!H43</f>
        <v>49.172714999999997</v>
      </c>
      <c r="I169" s="502">
        <f>'2 CARRILES HCM'!I43</f>
        <v>140.14223774999999</v>
      </c>
      <c r="J169" s="33">
        <f t="shared" si="48"/>
        <v>4917.2714999999998</v>
      </c>
    </row>
    <row r="170" spans="1:10" x14ac:dyDescent="0.25">
      <c r="A170" s="125">
        <v>2017</v>
      </c>
      <c r="B170" s="41">
        <v>4</v>
      </c>
      <c r="C170" s="502">
        <f>'2 CARRILES HCM'!C44</f>
        <v>4046.7669263549997</v>
      </c>
      <c r="D170" s="502">
        <f>'2 CARRILES HCM'!D44</f>
        <v>273.49864083</v>
      </c>
      <c r="E170" s="502">
        <f>'2 CARRILES HCM'!E44</f>
        <v>344.40569585999998</v>
      </c>
      <c r="F170" s="502">
        <f>'2 CARRILES HCM'!F44</f>
        <v>101.2957929</v>
      </c>
      <c r="G170" s="502">
        <f>'2 CARRILES HCM'!G44</f>
        <v>103.82818772249999</v>
      </c>
      <c r="H170" s="502">
        <f>'2 CARRILES HCM'!H44</f>
        <v>50.647896449999998</v>
      </c>
      <c r="I170" s="502">
        <f>'2 CARRILES HCM'!I44</f>
        <v>144.3465048825</v>
      </c>
      <c r="J170" s="33">
        <f t="shared" si="48"/>
        <v>5064.7896450000007</v>
      </c>
    </row>
    <row r="171" spans="1:10" x14ac:dyDescent="0.25">
      <c r="A171" s="125">
        <v>2018</v>
      </c>
      <c r="B171" s="41">
        <v>5</v>
      </c>
      <c r="C171" s="502">
        <f>'2 CARRILES HCM'!C45</f>
        <v>4168.1699341456497</v>
      </c>
      <c r="D171" s="502">
        <f>'2 CARRILES HCM'!D45</f>
        <v>281.70360005489994</v>
      </c>
      <c r="E171" s="502">
        <f>'2 CARRILES HCM'!E45</f>
        <v>354.73786673579997</v>
      </c>
      <c r="F171" s="502">
        <f>'2 CARRILES HCM'!F45</f>
        <v>104.33466668699998</v>
      </c>
      <c r="G171" s="502">
        <f>'2 CARRILES HCM'!G45</f>
        <v>106.94303335417499</v>
      </c>
      <c r="H171" s="502">
        <f>'2 CARRILES HCM'!H45</f>
        <v>52.16733334349999</v>
      </c>
      <c r="I171" s="502">
        <f>'2 CARRILES HCM'!I45</f>
        <v>148.67690002897498</v>
      </c>
      <c r="J171" s="33">
        <f t="shared" si="48"/>
        <v>5216.7333343499995</v>
      </c>
    </row>
    <row r="172" spans="1:10" x14ac:dyDescent="0.25">
      <c r="A172" s="125">
        <v>2019</v>
      </c>
      <c r="B172" s="41">
        <v>6</v>
      </c>
      <c r="C172" s="502">
        <f>'2 CARRILES HCM'!C46</f>
        <v>4293.2150321700192</v>
      </c>
      <c r="D172" s="502">
        <f>'2 CARRILES HCM'!D46</f>
        <v>290.15470805654695</v>
      </c>
      <c r="E172" s="502">
        <f>'2 CARRILES HCM'!E46</f>
        <v>365.38000273787395</v>
      </c>
      <c r="F172" s="502">
        <f>'2 CARRILES HCM'!F46</f>
        <v>107.46470668760999</v>
      </c>
      <c r="G172" s="502">
        <f>'2 CARRILES HCM'!G46</f>
        <v>110.15132435480024</v>
      </c>
      <c r="H172" s="502">
        <f>'2 CARRILES HCM'!H46</f>
        <v>53.732353343804995</v>
      </c>
      <c r="I172" s="502">
        <f>'2 CARRILES HCM'!I46</f>
        <v>153.13720702984423</v>
      </c>
      <c r="J172" s="33">
        <f t="shared" si="48"/>
        <v>5373.2353343804989</v>
      </c>
    </row>
    <row r="173" spans="1:10" x14ac:dyDescent="0.25">
      <c r="A173" s="125">
        <v>2020</v>
      </c>
      <c r="B173" s="41">
        <v>7</v>
      </c>
      <c r="C173" s="502">
        <f>'2 CARRILES HCM'!C47</f>
        <v>4422.0114831351202</v>
      </c>
      <c r="D173" s="502">
        <f>'2 CARRILES HCM'!D47</f>
        <v>298.85934929824339</v>
      </c>
      <c r="E173" s="502">
        <f>'2 CARRILES HCM'!E47</f>
        <v>376.34140282001022</v>
      </c>
      <c r="F173" s="502">
        <f>'2 CARRILES HCM'!F47</f>
        <v>110.68864788823829</v>
      </c>
      <c r="G173" s="502">
        <f>'2 CARRILES HCM'!G47</f>
        <v>113.45586408544426</v>
      </c>
      <c r="H173" s="502">
        <f>'2 CARRILES HCM'!H47</f>
        <v>55.344323944119147</v>
      </c>
      <c r="I173" s="502">
        <f>'2 CARRILES HCM'!I47</f>
        <v>157.73132324073958</v>
      </c>
      <c r="J173" s="33">
        <f t="shared" si="48"/>
        <v>5534.4323944119151</v>
      </c>
    </row>
    <row r="174" spans="1:10" x14ac:dyDescent="0.25">
      <c r="A174" s="125">
        <v>2021</v>
      </c>
      <c r="B174" s="41">
        <v>8</v>
      </c>
      <c r="C174" s="502">
        <f>'2 CARRILES HCM'!C48</f>
        <v>4554.6718276291731</v>
      </c>
      <c r="D174" s="502">
        <f>'2 CARRILES HCM'!D48</f>
        <v>307.82512977719068</v>
      </c>
      <c r="E174" s="502">
        <f>'2 CARRILES HCM'!E48</f>
        <v>387.63164490461048</v>
      </c>
      <c r="F174" s="502">
        <f>'2 CARRILES HCM'!F48</f>
        <v>114.00930732488544</v>
      </c>
      <c r="G174" s="502">
        <f>'2 CARRILES HCM'!G48</f>
        <v>116.85954000800757</v>
      </c>
      <c r="H174" s="502">
        <f>'2 CARRILES HCM'!H48</f>
        <v>57.00465366244272</v>
      </c>
      <c r="I174" s="502">
        <f>'2 CARRILES HCM'!I48</f>
        <v>162.46326293796173</v>
      </c>
      <c r="J174" s="33">
        <f t="shared" si="48"/>
        <v>5700.4653662442724</v>
      </c>
    </row>
    <row r="175" spans="1:10" x14ac:dyDescent="0.25">
      <c r="A175" s="125">
        <v>2022</v>
      </c>
      <c r="B175" s="41">
        <v>9</v>
      </c>
      <c r="C175" s="502">
        <f>'2 CARRILES HCM'!C49</f>
        <v>4691.3119824580481</v>
      </c>
      <c r="D175" s="502">
        <f>'2 CARRILES HCM'!D49</f>
        <v>317.05988367050639</v>
      </c>
      <c r="E175" s="502">
        <f>'2 CARRILES HCM'!E49</f>
        <v>399.26059425174878</v>
      </c>
      <c r="F175" s="502">
        <f>'2 CARRILES HCM'!F49</f>
        <v>117.429586544632</v>
      </c>
      <c r="G175" s="502">
        <f>'2 CARRILES HCM'!G49</f>
        <v>120.36532620824781</v>
      </c>
      <c r="H175" s="502">
        <f>'2 CARRILES HCM'!H49</f>
        <v>58.714793272316001</v>
      </c>
      <c r="I175" s="502">
        <f>'2 CARRILES HCM'!I49</f>
        <v>167.33716082610061</v>
      </c>
      <c r="J175" s="33">
        <f t="shared" si="48"/>
        <v>5871.4793272316001</v>
      </c>
    </row>
    <row r="176" spans="1:10" x14ac:dyDescent="0.25">
      <c r="A176" s="125">
        <v>2023</v>
      </c>
      <c r="B176" s="41">
        <v>10</v>
      </c>
      <c r="C176" s="502">
        <f>'2 CARRILES HCM'!C50</f>
        <v>4832.0513419317895</v>
      </c>
      <c r="D176" s="502">
        <f>'2 CARRILES HCM'!D50</f>
        <v>326.57168018062157</v>
      </c>
      <c r="E176" s="502">
        <f>'2 CARRILES HCM'!E50</f>
        <v>411.23841207930127</v>
      </c>
      <c r="F176" s="502">
        <f>'2 CARRILES HCM'!F50</f>
        <v>120.95247414097096</v>
      </c>
      <c r="G176" s="502">
        <f>'2 CARRILES HCM'!G50</f>
        <v>123.97628599449523</v>
      </c>
      <c r="H176" s="502">
        <f>'2 CARRILES HCM'!H50</f>
        <v>60.476237070485482</v>
      </c>
      <c r="I176" s="502">
        <f>'2 CARRILES HCM'!I50</f>
        <v>172.35727565088362</v>
      </c>
      <c r="J176" s="33">
        <f t="shared" si="48"/>
        <v>6047.6237070485486</v>
      </c>
    </row>
    <row r="177" spans="1:10" x14ac:dyDescent="0.25">
      <c r="A177" s="125">
        <v>2024</v>
      </c>
      <c r="B177" s="41">
        <v>11</v>
      </c>
      <c r="C177" s="502">
        <f>'2 CARRILES HCM'!C51</f>
        <v>4977.0128821897433</v>
      </c>
      <c r="D177" s="502">
        <f>'2 CARRILES HCM'!D51</f>
        <v>336.36883058604025</v>
      </c>
      <c r="E177" s="502">
        <f>'2 CARRILES HCM'!E51</f>
        <v>423.57556444168034</v>
      </c>
      <c r="F177" s="502">
        <f>'2 CARRILES HCM'!F51</f>
        <v>124.58104836520009</v>
      </c>
      <c r="G177" s="502">
        <f>'2 CARRILES HCM'!G51</f>
        <v>127.6955745743301</v>
      </c>
      <c r="H177" s="502">
        <f>'2 CARRILES HCM'!H51</f>
        <v>62.290524182600045</v>
      </c>
      <c r="I177" s="502">
        <f>'2 CARRILES HCM'!I51</f>
        <v>177.52799392041013</v>
      </c>
      <c r="J177" s="33">
        <f t="shared" si="48"/>
        <v>6229.0524182600047</v>
      </c>
    </row>
    <row r="178" spans="1:10" x14ac:dyDescent="0.25">
      <c r="A178" s="125">
        <v>2025</v>
      </c>
      <c r="B178" s="41">
        <v>12</v>
      </c>
      <c r="C178" s="502">
        <f>'2 CARRILES HCM'!C52</f>
        <v>5126.3232686554356</v>
      </c>
      <c r="D178" s="502">
        <f>'2 CARRILES HCM'!D52</f>
        <v>346.4598955036214</v>
      </c>
      <c r="E178" s="502">
        <f>'2 CARRILES HCM'!E52</f>
        <v>436.28283137493065</v>
      </c>
      <c r="F178" s="502">
        <f>'2 CARRILES HCM'!F52</f>
        <v>128.31847981615607</v>
      </c>
      <c r="G178" s="502">
        <f>'2 CARRILES HCM'!G52</f>
        <v>131.52644181155998</v>
      </c>
      <c r="H178" s="502">
        <f>'2 CARRILES HCM'!H52</f>
        <v>64.159239908078035</v>
      </c>
      <c r="I178" s="502">
        <f>'2 CARRILES HCM'!I52</f>
        <v>182.85383373802242</v>
      </c>
      <c r="J178" s="33">
        <f t="shared" si="48"/>
        <v>6415.9239908078052</v>
      </c>
    </row>
    <row r="179" spans="1:10" x14ac:dyDescent="0.25">
      <c r="A179" s="125">
        <v>2026</v>
      </c>
      <c r="B179" s="41">
        <v>13</v>
      </c>
      <c r="C179" s="502">
        <f>'2 CARRILES HCM'!C53</f>
        <v>5280.1129667150981</v>
      </c>
      <c r="D179" s="502">
        <f>'2 CARRILES HCM'!D53</f>
        <v>356.85369236873004</v>
      </c>
      <c r="E179" s="502">
        <f>'2 CARRILES HCM'!E53</f>
        <v>449.37131631617854</v>
      </c>
      <c r="F179" s="502">
        <f>'2 CARRILES HCM'!F53</f>
        <v>132.16803421064074</v>
      </c>
      <c r="G179" s="502">
        <f>'2 CARRILES HCM'!G53</f>
        <v>135.47223506590677</v>
      </c>
      <c r="H179" s="502">
        <f>'2 CARRILES HCM'!H53</f>
        <v>66.08401710532037</v>
      </c>
      <c r="I179" s="502">
        <f>'2 CARRILES HCM'!I53</f>
        <v>188.33944875016309</v>
      </c>
      <c r="J179" s="33">
        <f t="shared" si="48"/>
        <v>6608.4017105320372</v>
      </c>
    </row>
    <row r="180" spans="1:10" x14ac:dyDescent="0.25">
      <c r="A180" s="125">
        <v>2027</v>
      </c>
      <c r="B180" s="41">
        <v>14</v>
      </c>
      <c r="C180" s="502">
        <f>'2 CARRILES HCM'!C54</f>
        <v>5438.5163557165515</v>
      </c>
      <c r="D180" s="502">
        <f>'2 CARRILES HCM'!D54</f>
        <v>367.55930313979195</v>
      </c>
      <c r="E180" s="502">
        <f>'2 CARRILES HCM'!E54</f>
        <v>462.85245580566396</v>
      </c>
      <c r="F180" s="502">
        <f>'2 CARRILES HCM'!F54</f>
        <v>136.13307523696</v>
      </c>
      <c r="G180" s="502">
        <f>'2 CARRILES HCM'!G54</f>
        <v>139.53640211788399</v>
      </c>
      <c r="H180" s="502">
        <f>'2 CARRILES HCM'!H54</f>
        <v>68.066537618479998</v>
      </c>
      <c r="I180" s="502">
        <f>'2 CARRILES HCM'!I54</f>
        <v>193.989632212668</v>
      </c>
      <c r="J180" s="33">
        <f t="shared" si="48"/>
        <v>6806.6537618479997</v>
      </c>
    </row>
    <row r="181" spans="1:10" x14ac:dyDescent="0.25">
      <c r="A181" s="125">
        <v>2028</v>
      </c>
      <c r="B181" s="41">
        <v>15</v>
      </c>
      <c r="C181" s="502">
        <f>'2 CARRILES HCM'!C55</f>
        <v>5601.6718463880488</v>
      </c>
      <c r="D181" s="502">
        <f>'2 CARRILES HCM'!D55</f>
        <v>378.58608223398574</v>
      </c>
      <c r="E181" s="502">
        <f>'2 CARRILES HCM'!E55</f>
        <v>476.73802947983393</v>
      </c>
      <c r="F181" s="502">
        <f>'2 CARRILES HCM'!F55</f>
        <v>140.2170674940688</v>
      </c>
      <c r="G181" s="502">
        <f>'2 CARRILES HCM'!G55</f>
        <v>143.72249418142053</v>
      </c>
      <c r="H181" s="502">
        <f>'2 CARRILES HCM'!H55</f>
        <v>70.1085337470344</v>
      </c>
      <c r="I181" s="502">
        <f>'2 CARRILES HCM'!I55</f>
        <v>199.80932117904803</v>
      </c>
      <c r="J181" s="33">
        <f t="shared" si="48"/>
        <v>7010.8533747034398</v>
      </c>
    </row>
    <row r="182" spans="1:10" x14ac:dyDescent="0.25">
      <c r="A182" s="125">
        <v>2029</v>
      </c>
      <c r="B182" s="41">
        <v>16</v>
      </c>
      <c r="C182" s="502">
        <f>'2 CARRILES HCM'!C56</f>
        <v>5769.722001779689</v>
      </c>
      <c r="D182" s="502">
        <f>'2 CARRILES HCM'!D56</f>
        <v>389.94366470100528</v>
      </c>
      <c r="E182" s="502">
        <f>'2 CARRILES HCM'!E56</f>
        <v>491.04017036422886</v>
      </c>
      <c r="F182" s="502">
        <f>'2 CARRILES HCM'!F56</f>
        <v>144.42357951889085</v>
      </c>
      <c r="G182" s="502">
        <f>'2 CARRILES HCM'!G56</f>
        <v>148.0341690068631</v>
      </c>
      <c r="H182" s="502">
        <f>'2 CARRILES HCM'!H56</f>
        <v>72.211789759445423</v>
      </c>
      <c r="I182" s="502">
        <f>'2 CARRILES HCM'!I56</f>
        <v>205.80360081441944</v>
      </c>
      <c r="J182" s="33">
        <f t="shared" si="48"/>
        <v>7221.1789759445419</v>
      </c>
    </row>
    <row r="183" spans="1:10" x14ac:dyDescent="0.25">
      <c r="A183" s="125">
        <v>2030</v>
      </c>
      <c r="B183" s="41">
        <v>17</v>
      </c>
      <c r="C183" s="502">
        <f>'2 CARRILES HCM'!C57</f>
        <v>5942.81366183308</v>
      </c>
      <c r="D183" s="502">
        <f>'2 CARRILES HCM'!D57</f>
        <v>401.64197464203539</v>
      </c>
      <c r="E183" s="502">
        <f>'2 CARRILES HCM'!E57</f>
        <v>505.77137547515571</v>
      </c>
      <c r="F183" s="502">
        <f>'2 CARRILES HCM'!F57</f>
        <v>148.75628690445757</v>
      </c>
      <c r="G183" s="502">
        <f>'2 CARRILES HCM'!G57</f>
        <v>152.47519407706901</v>
      </c>
      <c r="H183" s="502">
        <f>'2 CARRILES HCM'!H57</f>
        <v>74.378143452228784</v>
      </c>
      <c r="I183" s="502">
        <f>'2 CARRILES HCM'!I57</f>
        <v>211.97770883885204</v>
      </c>
      <c r="J183" s="33">
        <f t="shared" si="48"/>
        <v>7437.8143452228787</v>
      </c>
    </row>
    <row r="184" spans="1:10" x14ac:dyDescent="0.25">
      <c r="A184" s="125">
        <v>2031</v>
      </c>
      <c r="B184" s="41">
        <v>18</v>
      </c>
      <c r="C184" s="502">
        <f>'2 CARRILES HCM'!C58</f>
        <v>6121.0980716880722</v>
      </c>
      <c r="D184" s="502">
        <f>'2 CARRILES HCM'!D58</f>
        <v>413.69123388129651</v>
      </c>
      <c r="E184" s="502">
        <f>'2 CARRILES HCM'!E58</f>
        <v>520.94451673941035</v>
      </c>
      <c r="F184" s="502">
        <f>'2 CARRILES HCM'!F58</f>
        <v>153.21897551159128</v>
      </c>
      <c r="G184" s="502">
        <f>'2 CARRILES HCM'!G58</f>
        <v>157.04944989938107</v>
      </c>
      <c r="H184" s="502">
        <f>'2 CARRILES HCM'!H58</f>
        <v>76.609487755795641</v>
      </c>
      <c r="I184" s="502">
        <f>'2 CARRILES HCM'!I58</f>
        <v>218.3370401040176</v>
      </c>
      <c r="J184" s="33">
        <f t="shared" si="48"/>
        <v>7660.9487755795644</v>
      </c>
    </row>
    <row r="185" spans="1:10" x14ac:dyDescent="0.25">
      <c r="A185" s="125">
        <v>2032</v>
      </c>
      <c r="B185" s="41">
        <v>19</v>
      </c>
      <c r="C185" s="502">
        <f>'2 CARRILES HCM'!C59</f>
        <v>6304.7310138387138</v>
      </c>
      <c r="D185" s="502">
        <f>'2 CARRILES HCM'!D59</f>
        <v>426.10197089773538</v>
      </c>
      <c r="E185" s="502">
        <f>'2 CARRILES HCM'!E59</f>
        <v>536.57285224159273</v>
      </c>
      <c r="F185" s="502">
        <f>'2 CARRILES HCM'!F59</f>
        <v>157.81554477693902</v>
      </c>
      <c r="G185" s="502">
        <f>'2 CARRILES HCM'!G59</f>
        <v>161.7609333963625</v>
      </c>
      <c r="H185" s="502">
        <f>'2 CARRILES HCM'!H59</f>
        <v>78.90777238846951</v>
      </c>
      <c r="I185" s="502">
        <f>'2 CARRILES HCM'!I59</f>
        <v>224.88715130713811</v>
      </c>
      <c r="J185" s="33">
        <f t="shared" si="48"/>
        <v>7890.7772388469511</v>
      </c>
    </row>
    <row r="186" spans="1:10" x14ac:dyDescent="0.25">
      <c r="A186" s="125">
        <v>2033</v>
      </c>
      <c r="B186" s="41">
        <v>20</v>
      </c>
      <c r="C186" s="502">
        <f>'2 CARRILES HCM'!C60</f>
        <v>6493.8729442538752</v>
      </c>
      <c r="D186" s="502">
        <f>'2 CARRILES HCM'!D60</f>
        <v>438.8850300246674</v>
      </c>
      <c r="E186" s="502">
        <f>'2 CARRILES HCM'!E60</f>
        <v>552.67003780884045</v>
      </c>
      <c r="F186" s="502">
        <f>'2 CARRILES HCM'!F60</f>
        <v>162.55001112024721</v>
      </c>
      <c r="G186" s="502">
        <f>'2 CARRILES HCM'!G60</f>
        <v>166.61376139825336</v>
      </c>
      <c r="H186" s="502">
        <f>'2 CARRILES HCM'!H60</f>
        <v>81.275005560123603</v>
      </c>
      <c r="I186" s="502">
        <f>'2 CARRILES HCM'!I60</f>
        <v>231.63376584635225</v>
      </c>
      <c r="J186" s="33">
        <f t="shared" si="48"/>
        <v>8127.5005560123609</v>
      </c>
    </row>
    <row r="187" spans="1:10" x14ac:dyDescent="0.25">
      <c r="A187" s="125">
        <v>2034</v>
      </c>
      <c r="B187" s="41">
        <v>21</v>
      </c>
      <c r="C187" s="502">
        <f>'2 CARRILES HCM'!C61</f>
        <v>6688.6891325814904</v>
      </c>
      <c r="D187" s="502">
        <f>'2 CARRILES HCM'!D61</f>
        <v>452.05158092540739</v>
      </c>
      <c r="E187" s="502">
        <f>'2 CARRILES HCM'!E61</f>
        <v>569.25013894310564</v>
      </c>
      <c r="F187" s="502">
        <f>'2 CARRILES HCM'!F61</f>
        <v>167.42651145385457</v>
      </c>
      <c r="G187" s="502">
        <f>'2 CARRILES HCM'!G61</f>
        <v>171.61217424020094</v>
      </c>
      <c r="H187" s="502">
        <f>'2 CARRILES HCM'!H61</f>
        <v>83.713255726927287</v>
      </c>
      <c r="I187" s="502">
        <f>'2 CARRILES HCM'!I61</f>
        <v>238.58277882174278</v>
      </c>
      <c r="J187" s="33">
        <f t="shared" si="48"/>
        <v>8371.3255726927291</v>
      </c>
    </row>
    <row r="188" spans="1:10" x14ac:dyDescent="0.25">
      <c r="A188" s="125">
        <v>2035</v>
      </c>
      <c r="B188" s="41">
        <v>22</v>
      </c>
      <c r="C188" s="502">
        <f>'2 CARRILES HCM'!C62</f>
        <v>6889.3498065589365</v>
      </c>
      <c r="D188" s="502">
        <f>'2 CARRILES HCM'!D62</f>
        <v>465.61312835316966</v>
      </c>
      <c r="E188" s="502">
        <f>'2 CARRILES HCM'!E62</f>
        <v>586.32764311139886</v>
      </c>
      <c r="F188" s="502">
        <f>'2 CARRILES HCM'!F62</f>
        <v>172.44930679747023</v>
      </c>
      <c r="G188" s="502">
        <f>'2 CARRILES HCM'!G62</f>
        <v>176.760539467407</v>
      </c>
      <c r="H188" s="502">
        <f>'2 CARRILES HCM'!H62</f>
        <v>86.224653398735114</v>
      </c>
      <c r="I188" s="502">
        <f>'2 CARRILES HCM'!I62</f>
        <v>245.74026218639509</v>
      </c>
      <c r="J188" s="33">
        <f t="shared" si="48"/>
        <v>8622.4653398735118</v>
      </c>
    </row>
    <row r="189" spans="1:10" x14ac:dyDescent="0.25">
      <c r="A189" s="125">
        <v>2036</v>
      </c>
      <c r="B189" s="41">
        <v>23</v>
      </c>
      <c r="C189" s="502">
        <f>'2 CARRILES HCM'!C63</f>
        <v>7096.030300755705</v>
      </c>
      <c r="D189" s="502">
        <f>'2 CARRILES HCM'!D63</f>
        <v>479.58152220376479</v>
      </c>
      <c r="E189" s="502">
        <f>'2 CARRILES HCM'!E63</f>
        <v>603.91747240474081</v>
      </c>
      <c r="F189" s="502">
        <f>'2 CARRILES HCM'!F63</f>
        <v>177.62278600139436</v>
      </c>
      <c r="G189" s="502">
        <f>'2 CARRILES HCM'!G63</f>
        <v>182.06335565142922</v>
      </c>
      <c r="H189" s="502">
        <f>'2 CARRILES HCM'!H63</f>
        <v>88.81139300069718</v>
      </c>
      <c r="I189" s="502">
        <f>'2 CARRILES HCM'!I63</f>
        <v>253.11247005198697</v>
      </c>
      <c r="J189" s="33">
        <f t="shared" si="48"/>
        <v>8881.1393000697171</v>
      </c>
    </row>
    <row r="190" spans="1:10" x14ac:dyDescent="0.25">
      <c r="A190" s="125">
        <v>2037</v>
      </c>
      <c r="B190" s="41">
        <v>24</v>
      </c>
      <c r="C190" s="502">
        <f>'2 CARRILES HCM'!C64</f>
        <v>7308.9112097783745</v>
      </c>
      <c r="D190" s="502">
        <f>'2 CARRILES HCM'!D64</f>
        <v>493.96896786987764</v>
      </c>
      <c r="E190" s="502">
        <f>'2 CARRILES HCM'!E64</f>
        <v>622.03499657688292</v>
      </c>
      <c r="F190" s="502">
        <f>'2 CARRILES HCM'!F64</f>
        <v>182.95146958143616</v>
      </c>
      <c r="G190" s="502">
        <f>'2 CARRILES HCM'!G64</f>
        <v>187.52525632097206</v>
      </c>
      <c r="H190" s="502">
        <f>'2 CARRILES HCM'!H64</f>
        <v>91.475734790718079</v>
      </c>
      <c r="I190" s="502">
        <f>'2 CARRILES HCM'!I64</f>
        <v>260.70584415354654</v>
      </c>
      <c r="J190" s="33">
        <f t="shared" si="48"/>
        <v>9147.5734790718088</v>
      </c>
    </row>
    <row r="191" spans="1:10" x14ac:dyDescent="0.25">
      <c r="A191" s="125">
        <v>2038</v>
      </c>
      <c r="B191" s="41">
        <v>25</v>
      </c>
      <c r="C191" s="502">
        <f>'2 CARRILES HCM'!C65</f>
        <v>7528.1785460717256</v>
      </c>
      <c r="D191" s="502">
        <f>'2 CARRILES HCM'!D65</f>
        <v>508.78803690597397</v>
      </c>
      <c r="E191" s="502">
        <f>'2 CARRILES HCM'!E65</f>
        <v>640.69604647418942</v>
      </c>
      <c r="F191" s="502">
        <f>'2 CARRILES HCM'!F65</f>
        <v>188.44001366887923</v>
      </c>
      <c r="G191" s="502">
        <f>'2 CARRILES HCM'!G65</f>
        <v>193.15101401060122</v>
      </c>
      <c r="H191" s="502">
        <f>'2 CARRILES HCM'!H65</f>
        <v>94.220006834439616</v>
      </c>
      <c r="I191" s="502">
        <f>'2 CARRILES HCM'!I65</f>
        <v>268.52701947815291</v>
      </c>
      <c r="J191" s="33">
        <f t="shared" si="48"/>
        <v>9422.0006834439628</v>
      </c>
    </row>
    <row r="192" spans="1:10" x14ac:dyDescent="0.25">
      <c r="A192" s="125">
        <v>2039</v>
      </c>
      <c r="B192" s="41">
        <v>26</v>
      </c>
      <c r="C192" s="502">
        <f>'2 CARRILES HCM'!C66</f>
        <v>7754.0239024538787</v>
      </c>
      <c r="D192" s="502">
        <f>'2 CARRILES HCM'!D66</f>
        <v>524.05167801315326</v>
      </c>
      <c r="E192" s="502">
        <f>'2 CARRILES HCM'!E66</f>
        <v>659.9169278684152</v>
      </c>
      <c r="F192" s="502">
        <f>'2 CARRILES HCM'!F66</f>
        <v>194.09321407894566</v>
      </c>
      <c r="G192" s="502">
        <f>'2 CARRILES HCM'!G66</f>
        <v>198.94554443091928</v>
      </c>
      <c r="H192" s="502">
        <f>'2 CARRILES HCM'!H66</f>
        <v>97.046607039472832</v>
      </c>
      <c r="I192" s="502">
        <f>'2 CARRILES HCM'!I66</f>
        <v>276.58283006249758</v>
      </c>
      <c r="J192" s="33">
        <f t="shared" si="48"/>
        <v>9704.6607039472819</v>
      </c>
    </row>
    <row r="193" spans="1:10" x14ac:dyDescent="0.25">
      <c r="A193" s="125">
        <v>2040</v>
      </c>
      <c r="B193" s="41">
        <v>27</v>
      </c>
      <c r="C193" s="502">
        <f>'2 CARRILES HCM'!C67</f>
        <v>7986.6446195274939</v>
      </c>
      <c r="D193" s="502">
        <f>'2 CARRILES HCM'!D67</f>
        <v>539.77322835354778</v>
      </c>
      <c r="E193" s="502">
        <f>'2 CARRILES HCM'!E67</f>
        <v>679.71443570446763</v>
      </c>
      <c r="F193" s="502">
        <f>'2 CARRILES HCM'!F67</f>
        <v>199.91601050131399</v>
      </c>
      <c r="G193" s="502">
        <f>'2 CARRILES HCM'!G67</f>
        <v>204.91391076384684</v>
      </c>
      <c r="H193" s="502">
        <f>'2 CARRILES HCM'!H67</f>
        <v>99.958005250656996</v>
      </c>
      <c r="I193" s="502">
        <f>'2 CARRILES HCM'!I67</f>
        <v>284.88031496437242</v>
      </c>
      <c r="J193" s="33">
        <f t="shared" si="48"/>
        <v>9995.8005250656988</v>
      </c>
    </row>
    <row r="194" spans="1:10" x14ac:dyDescent="0.25">
      <c r="A194" s="125">
        <v>2041</v>
      </c>
      <c r="B194" s="41">
        <v>28</v>
      </c>
      <c r="C194" s="502">
        <f>'2 CARRILES HCM'!C68</f>
        <v>8226.2439581133185</v>
      </c>
      <c r="D194" s="502">
        <f>'2 CARRILES HCM'!D68</f>
        <v>555.96642520415423</v>
      </c>
      <c r="E194" s="502">
        <f>'2 CARRILES HCM'!E68</f>
        <v>700.10586877560161</v>
      </c>
      <c r="F194" s="502">
        <f>'2 CARRILES HCM'!F68</f>
        <v>205.91349081635343</v>
      </c>
      <c r="G194" s="502">
        <f>'2 CARRILES HCM'!G68</f>
        <v>211.06132808676224</v>
      </c>
      <c r="H194" s="502">
        <f>'2 CARRILES HCM'!H68</f>
        <v>102.95674540817672</v>
      </c>
      <c r="I194" s="502">
        <f>'2 CARRILES HCM'!I68</f>
        <v>293.42672441330365</v>
      </c>
      <c r="J194" s="33">
        <f t="shared" si="48"/>
        <v>10295.674540817672</v>
      </c>
    </row>
    <row r="195" spans="1:10" x14ac:dyDescent="0.25">
      <c r="A195" s="125">
        <v>2042</v>
      </c>
      <c r="B195" s="41">
        <v>29</v>
      </c>
      <c r="C195" s="502">
        <f>'2 CARRILES HCM'!C69</f>
        <v>8473.0312768567183</v>
      </c>
      <c r="D195" s="502">
        <f>'2 CARRILES HCM'!D69</f>
        <v>572.64541796027879</v>
      </c>
      <c r="E195" s="502">
        <f>'2 CARRILES HCM'!E69</f>
        <v>721.10904483886964</v>
      </c>
      <c r="F195" s="502">
        <f>'2 CARRILES HCM'!F69</f>
        <v>212.090895540844</v>
      </c>
      <c r="G195" s="502">
        <f>'2 CARRILES HCM'!G69</f>
        <v>217.39316792936509</v>
      </c>
      <c r="H195" s="502">
        <f>'2 CARRILES HCM'!H69</f>
        <v>106.045447770422</v>
      </c>
      <c r="I195" s="502">
        <f>'2 CARRILES HCM'!I69</f>
        <v>302.22952614570272</v>
      </c>
      <c r="J195" s="33">
        <f t="shared" si="48"/>
        <v>10604.5447770422</v>
      </c>
    </row>
    <row r="196" spans="1:10" x14ac:dyDescent="0.25">
      <c r="A196" s="125">
        <v>2043</v>
      </c>
      <c r="B196" s="41">
        <v>30</v>
      </c>
      <c r="C196" s="502">
        <f>'2 CARRILES HCM'!C70</f>
        <v>8727.2222151624192</v>
      </c>
      <c r="D196" s="502">
        <f>'2 CARRILES HCM'!D70</f>
        <v>589.82478049908718</v>
      </c>
      <c r="E196" s="502">
        <f>'2 CARRILES HCM'!E70</f>
        <v>742.74231618403564</v>
      </c>
      <c r="F196" s="502">
        <f>'2 CARRILES HCM'!F70</f>
        <v>218.45362240706933</v>
      </c>
      <c r="G196" s="502">
        <f>'2 CARRILES HCM'!G70</f>
        <v>223.91496296724605</v>
      </c>
      <c r="H196" s="502">
        <f>'2 CARRILES HCM'!H70</f>
        <v>109.22681120353467</v>
      </c>
      <c r="I196" s="502">
        <f>'2 CARRILES HCM'!I70</f>
        <v>311.29641193007376</v>
      </c>
      <c r="J196" s="33">
        <f>SUM(C196:I196)</f>
        <v>10922.681120353467</v>
      </c>
    </row>
    <row r="197" spans="1:10" x14ac:dyDescent="0.25">
      <c r="A197" s="125">
        <v>2044</v>
      </c>
      <c r="B197" s="41">
        <v>31</v>
      </c>
      <c r="C197" s="502">
        <f>'2 CARRILES HCM'!C71</f>
        <v>8989.0388816172926</v>
      </c>
      <c r="D197" s="502">
        <f>'2 CARRILES HCM'!D71</f>
        <v>607.51952391405985</v>
      </c>
      <c r="E197" s="502">
        <f>'2 CARRILES HCM'!E71</f>
        <v>765.02458566955693</v>
      </c>
      <c r="F197" s="502">
        <f>'2 CARRILES HCM'!F71</f>
        <v>225.00723107928144</v>
      </c>
      <c r="G197" s="502">
        <f>'2 CARRILES HCM'!G71</f>
        <v>230.63241185626347</v>
      </c>
      <c r="H197" s="502">
        <f>'2 CARRILES HCM'!H71</f>
        <v>112.50361553964072</v>
      </c>
      <c r="I197" s="502">
        <f>'2 CARRILES HCM'!I71</f>
        <v>320.63530428797606</v>
      </c>
      <c r="J197" s="33">
        <f>SUM(C197:I197)</f>
        <v>11250.361553964072</v>
      </c>
    </row>
    <row r="198" spans="1:10" ht="15.75" thickBot="1" x14ac:dyDescent="0.3">
      <c r="A198" s="125">
        <v>2045</v>
      </c>
      <c r="B198" s="41">
        <v>32</v>
      </c>
      <c r="C198" s="502">
        <f>'2 CARRILES HCM'!C72</f>
        <v>9258.71004806581</v>
      </c>
      <c r="D198" s="502">
        <f>'2 CARRILES HCM'!D72</f>
        <v>625.74510963148157</v>
      </c>
      <c r="E198" s="502">
        <f>'2 CARRILES HCM'!E72</f>
        <v>787.97532323964344</v>
      </c>
      <c r="F198" s="502">
        <f>'2 CARRILES HCM'!F72</f>
        <v>231.75744801165985</v>
      </c>
      <c r="G198" s="502">
        <f>'2 CARRILES HCM'!G72</f>
        <v>237.55138421195133</v>
      </c>
      <c r="H198" s="502">
        <f>'2 CARRILES HCM'!H72</f>
        <v>115.87872400582992</v>
      </c>
      <c r="I198" s="502">
        <f>'2 CARRILES HCM'!I72</f>
        <v>330.25436341661526</v>
      </c>
      <c r="J198" s="33">
        <f>SUM(C198:I198)</f>
        <v>11587.872400582992</v>
      </c>
    </row>
    <row r="199" spans="1:10" ht="15.75" thickBot="1" x14ac:dyDescent="0.3">
      <c r="A199" s="70"/>
      <c r="B199" s="71" t="s">
        <v>54</v>
      </c>
      <c r="C199" s="504">
        <f>'2 CARRILES HCM'!C73</f>
        <v>0.03</v>
      </c>
      <c r="D199" s="504">
        <f>'2 CARRILES HCM'!D73</f>
        <v>0.03</v>
      </c>
      <c r="E199" s="504">
        <f>'2 CARRILES HCM'!E73</f>
        <v>0.03</v>
      </c>
      <c r="F199" s="504">
        <f>'2 CARRILES HCM'!F73</f>
        <v>0.03</v>
      </c>
      <c r="G199" s="504">
        <f>'2 CARRILES HCM'!G73</f>
        <v>0.03</v>
      </c>
      <c r="H199" s="504">
        <f>'2 CARRILES HCM'!H73</f>
        <v>0.03</v>
      </c>
      <c r="I199" s="504">
        <f>'2 CARRILES HCM'!I73</f>
        <v>0.03</v>
      </c>
      <c r="J199" s="501">
        <f>SUM(C199:I199)/7</f>
        <v>0.03</v>
      </c>
    </row>
    <row r="201" spans="1:10" ht="18.75" x14ac:dyDescent="0.3">
      <c r="A201" s="505" t="s">
        <v>506</v>
      </c>
      <c r="B201" s="505"/>
      <c r="C201" s="505"/>
    </row>
    <row r="203" spans="1:10" x14ac:dyDescent="0.25">
      <c r="A203" s="503" t="s">
        <v>18</v>
      </c>
      <c r="B203" s="68" t="s">
        <v>45</v>
      </c>
      <c r="C203" s="125" t="s">
        <v>46</v>
      </c>
      <c r="D203" s="125" t="s">
        <v>47</v>
      </c>
      <c r="E203" s="125" t="s">
        <v>48</v>
      </c>
      <c r="F203" s="125" t="s">
        <v>49</v>
      </c>
      <c r="G203" s="125" t="s">
        <v>50</v>
      </c>
      <c r="H203" s="125" t="s">
        <v>51</v>
      </c>
      <c r="I203" s="125" t="s">
        <v>52</v>
      </c>
      <c r="J203" s="500" t="s">
        <v>53</v>
      </c>
    </row>
    <row r="204" spans="1:10" x14ac:dyDescent="0.25">
      <c r="A204" s="125">
        <v>2013</v>
      </c>
      <c r="B204" s="41">
        <v>0</v>
      </c>
      <c r="C204" s="200">
        <f>C166</f>
        <v>3595.5</v>
      </c>
      <c r="D204" s="200">
        <f>D166*$B$160</f>
        <v>425.25</v>
      </c>
      <c r="E204" s="200">
        <f>E166*$B$161</f>
        <v>535.5</v>
      </c>
      <c r="F204" s="200">
        <f>F166*$B$161</f>
        <v>157.5</v>
      </c>
      <c r="G204" s="200">
        <f>G166*$B$162</f>
        <v>230.625</v>
      </c>
      <c r="H204" s="200">
        <f>H166*$B$162</f>
        <v>112.5</v>
      </c>
      <c r="I204" s="200">
        <f>I166*$B$163</f>
        <v>384.75</v>
      </c>
      <c r="J204" s="33">
        <f>SUM(C204:I204)</f>
        <v>5441.625</v>
      </c>
    </row>
    <row r="205" spans="1:10" x14ac:dyDescent="0.25">
      <c r="A205" s="125">
        <v>2014</v>
      </c>
      <c r="B205" s="41">
        <v>1</v>
      </c>
      <c r="C205" s="200">
        <f t="shared" ref="C205:C236" si="49">C167</f>
        <v>3703.3650000000002</v>
      </c>
      <c r="D205" s="200">
        <f t="shared" ref="D205:D236" si="50">D167*$B$160</f>
        <v>438.00750000000005</v>
      </c>
      <c r="E205" s="200">
        <f t="shared" ref="E205:F234" si="51">E167*$B$161</f>
        <v>551.56500000000005</v>
      </c>
      <c r="F205" s="200">
        <f t="shared" si="51"/>
        <v>162.22499999999999</v>
      </c>
      <c r="G205" s="200">
        <f t="shared" ref="G205:H234" si="52">G167*$B$162</f>
        <v>237.54374999999999</v>
      </c>
      <c r="H205" s="200">
        <f t="shared" si="52"/>
        <v>115.875</v>
      </c>
      <c r="I205" s="200">
        <f t="shared" ref="I205:I236" si="53">I167*$B$163</f>
        <v>396.29250000000002</v>
      </c>
      <c r="J205" s="33">
        <f t="shared" ref="J205:J234" si="54">SUM(C205:I205)</f>
        <v>5604.8737500000007</v>
      </c>
    </row>
    <row r="206" spans="1:10" x14ac:dyDescent="0.25">
      <c r="A206" s="125">
        <v>2015</v>
      </c>
      <c r="B206" s="41">
        <v>2</v>
      </c>
      <c r="C206" s="200">
        <f t="shared" si="49"/>
        <v>3814.4659499999998</v>
      </c>
      <c r="D206" s="200">
        <f t="shared" si="50"/>
        <v>451.14772499999998</v>
      </c>
      <c r="E206" s="200">
        <f t="shared" si="51"/>
        <v>568.11194999999998</v>
      </c>
      <c r="F206" s="200">
        <f t="shared" si="51"/>
        <v>167.09174999999999</v>
      </c>
      <c r="G206" s="200">
        <f t="shared" si="52"/>
        <v>244.67006249999997</v>
      </c>
      <c r="H206" s="200">
        <f t="shared" si="52"/>
        <v>119.35124999999999</v>
      </c>
      <c r="I206" s="200">
        <f t="shared" si="53"/>
        <v>408.18127499999991</v>
      </c>
      <c r="J206" s="33">
        <f t="shared" si="54"/>
        <v>5773.0199624999987</v>
      </c>
    </row>
    <row r="207" spans="1:10" x14ac:dyDescent="0.25">
      <c r="A207" s="125">
        <v>2016</v>
      </c>
      <c r="B207" s="41">
        <v>3</v>
      </c>
      <c r="C207" s="200">
        <f t="shared" si="49"/>
        <v>3928.8999285</v>
      </c>
      <c r="D207" s="200">
        <f t="shared" si="50"/>
        <v>464.68215675000005</v>
      </c>
      <c r="E207" s="200">
        <f t="shared" si="51"/>
        <v>585.15530850000005</v>
      </c>
      <c r="F207" s="200">
        <f t="shared" si="51"/>
        <v>172.1045025</v>
      </c>
      <c r="G207" s="200">
        <f t="shared" si="52"/>
        <v>252.01016437500002</v>
      </c>
      <c r="H207" s="200">
        <f t="shared" si="52"/>
        <v>122.93178749999998</v>
      </c>
      <c r="I207" s="200">
        <f t="shared" si="53"/>
        <v>420.42671324999998</v>
      </c>
      <c r="J207" s="33">
        <f t="shared" si="54"/>
        <v>5946.210561375</v>
      </c>
    </row>
    <row r="208" spans="1:10" x14ac:dyDescent="0.25">
      <c r="A208" s="125">
        <v>2017</v>
      </c>
      <c r="B208" s="41">
        <v>4</v>
      </c>
      <c r="C208" s="200">
        <f t="shared" si="49"/>
        <v>4046.7669263549997</v>
      </c>
      <c r="D208" s="200">
        <f t="shared" si="50"/>
        <v>478.62262145249997</v>
      </c>
      <c r="E208" s="200">
        <f t="shared" si="51"/>
        <v>602.70996775499998</v>
      </c>
      <c r="F208" s="200">
        <f t="shared" si="51"/>
        <v>177.26763757499998</v>
      </c>
      <c r="G208" s="200">
        <f t="shared" si="52"/>
        <v>259.57046930624995</v>
      </c>
      <c r="H208" s="200">
        <f t="shared" si="52"/>
        <v>126.61974112499999</v>
      </c>
      <c r="I208" s="200">
        <f t="shared" si="53"/>
        <v>433.03951464750003</v>
      </c>
      <c r="J208" s="33">
        <f t="shared" si="54"/>
        <v>6124.5968782162481</v>
      </c>
    </row>
    <row r="209" spans="1:10" x14ac:dyDescent="0.25">
      <c r="A209" s="125">
        <v>2018</v>
      </c>
      <c r="B209" s="41">
        <v>5</v>
      </c>
      <c r="C209" s="200">
        <f t="shared" si="49"/>
        <v>4168.1699341456497</v>
      </c>
      <c r="D209" s="200">
        <f t="shared" si="50"/>
        <v>492.9813000960749</v>
      </c>
      <c r="E209" s="200">
        <f t="shared" si="51"/>
        <v>620.79126678764999</v>
      </c>
      <c r="F209" s="200">
        <f t="shared" si="51"/>
        <v>182.58566670224997</v>
      </c>
      <c r="G209" s="200">
        <f t="shared" si="52"/>
        <v>267.35758338543747</v>
      </c>
      <c r="H209" s="200">
        <f t="shared" si="52"/>
        <v>130.41833335874998</v>
      </c>
      <c r="I209" s="200">
        <f t="shared" si="53"/>
        <v>446.03070008692498</v>
      </c>
      <c r="J209" s="33">
        <f t="shared" si="54"/>
        <v>6308.3347845627368</v>
      </c>
    </row>
    <row r="210" spans="1:10" x14ac:dyDescent="0.25">
      <c r="A210" s="125">
        <v>2019</v>
      </c>
      <c r="B210" s="41">
        <v>6</v>
      </c>
      <c r="C210" s="200">
        <f t="shared" si="49"/>
        <v>4293.2150321700192</v>
      </c>
      <c r="D210" s="200">
        <f t="shared" si="50"/>
        <v>507.77073909895716</v>
      </c>
      <c r="E210" s="200">
        <f t="shared" si="51"/>
        <v>639.41500479127944</v>
      </c>
      <c r="F210" s="200">
        <f t="shared" si="51"/>
        <v>188.06323670331747</v>
      </c>
      <c r="G210" s="200">
        <f t="shared" si="52"/>
        <v>275.37831088700057</v>
      </c>
      <c r="H210" s="200">
        <f t="shared" si="52"/>
        <v>134.33088335951248</v>
      </c>
      <c r="I210" s="200">
        <f t="shared" si="53"/>
        <v>459.41162108953267</v>
      </c>
      <c r="J210" s="33">
        <f t="shared" si="54"/>
        <v>6497.5848280996197</v>
      </c>
    </row>
    <row r="211" spans="1:10" x14ac:dyDescent="0.25">
      <c r="A211" s="125">
        <v>2020</v>
      </c>
      <c r="B211" s="41">
        <v>7</v>
      </c>
      <c r="C211" s="200">
        <f t="shared" si="49"/>
        <v>4422.0114831351202</v>
      </c>
      <c r="D211" s="200">
        <f t="shared" si="50"/>
        <v>523.00386127192587</v>
      </c>
      <c r="E211" s="200">
        <f t="shared" si="51"/>
        <v>658.59745493501782</v>
      </c>
      <c r="F211" s="200">
        <f t="shared" si="51"/>
        <v>193.70513380441702</v>
      </c>
      <c r="G211" s="200">
        <f t="shared" si="52"/>
        <v>283.63966021361068</v>
      </c>
      <c r="H211" s="200">
        <f t="shared" si="52"/>
        <v>138.36080986029788</v>
      </c>
      <c r="I211" s="200">
        <f t="shared" si="53"/>
        <v>473.19396972221875</v>
      </c>
      <c r="J211" s="33">
        <f t="shared" si="54"/>
        <v>6692.5123729426077</v>
      </c>
    </row>
    <row r="212" spans="1:10" x14ac:dyDescent="0.25">
      <c r="A212" s="125">
        <v>2021</v>
      </c>
      <c r="B212" s="41">
        <v>8</v>
      </c>
      <c r="C212" s="200">
        <f t="shared" si="49"/>
        <v>4554.6718276291731</v>
      </c>
      <c r="D212" s="200">
        <f t="shared" si="50"/>
        <v>538.69397711008367</v>
      </c>
      <c r="E212" s="200">
        <f t="shared" si="51"/>
        <v>678.35537858306839</v>
      </c>
      <c r="F212" s="200">
        <f t="shared" si="51"/>
        <v>199.51628781854953</v>
      </c>
      <c r="G212" s="200">
        <f t="shared" si="52"/>
        <v>292.14885002001893</v>
      </c>
      <c r="H212" s="200">
        <f t="shared" si="52"/>
        <v>142.51163415610679</v>
      </c>
      <c r="I212" s="200">
        <f t="shared" si="53"/>
        <v>487.38978881388516</v>
      </c>
      <c r="J212" s="33">
        <f t="shared" si="54"/>
        <v>6893.2877441308856</v>
      </c>
    </row>
    <row r="213" spans="1:10" x14ac:dyDescent="0.25">
      <c r="A213" s="125">
        <v>2022</v>
      </c>
      <c r="B213" s="41">
        <v>9</v>
      </c>
      <c r="C213" s="200">
        <f t="shared" si="49"/>
        <v>4691.3119824580481</v>
      </c>
      <c r="D213" s="200">
        <f t="shared" si="50"/>
        <v>554.85479642338623</v>
      </c>
      <c r="E213" s="200">
        <f t="shared" si="51"/>
        <v>698.70603994056034</v>
      </c>
      <c r="F213" s="200">
        <f t="shared" si="51"/>
        <v>205.501776453106</v>
      </c>
      <c r="G213" s="200">
        <f t="shared" si="52"/>
        <v>300.91331552061951</v>
      </c>
      <c r="H213" s="200">
        <f t="shared" si="52"/>
        <v>146.78698318079</v>
      </c>
      <c r="I213" s="200">
        <f t="shared" si="53"/>
        <v>502.01148247830184</v>
      </c>
      <c r="J213" s="33">
        <f t="shared" si="54"/>
        <v>7100.0863764548112</v>
      </c>
    </row>
    <row r="214" spans="1:10" x14ac:dyDescent="0.25">
      <c r="A214" s="125">
        <v>2023</v>
      </c>
      <c r="B214" s="41">
        <v>10</v>
      </c>
      <c r="C214" s="200">
        <f t="shared" si="49"/>
        <v>4832.0513419317895</v>
      </c>
      <c r="D214" s="200">
        <f t="shared" si="50"/>
        <v>571.50044031608775</v>
      </c>
      <c r="E214" s="200">
        <f t="shared" si="51"/>
        <v>719.66722113877722</v>
      </c>
      <c r="F214" s="200">
        <f t="shared" si="51"/>
        <v>211.66682974669919</v>
      </c>
      <c r="G214" s="200">
        <f t="shared" si="52"/>
        <v>309.94071498623805</v>
      </c>
      <c r="H214" s="200">
        <f t="shared" si="52"/>
        <v>151.1905926762137</v>
      </c>
      <c r="I214" s="200">
        <f t="shared" si="53"/>
        <v>517.07182695265089</v>
      </c>
      <c r="J214" s="33">
        <f t="shared" si="54"/>
        <v>7313.0889677484556</v>
      </c>
    </row>
    <row r="215" spans="1:10" x14ac:dyDescent="0.25">
      <c r="A215" s="125">
        <v>2024</v>
      </c>
      <c r="B215" s="41">
        <v>11</v>
      </c>
      <c r="C215" s="200">
        <f t="shared" si="49"/>
        <v>4977.0128821897433</v>
      </c>
      <c r="D215" s="200">
        <f t="shared" si="50"/>
        <v>588.64545352557047</v>
      </c>
      <c r="E215" s="200">
        <f t="shared" si="51"/>
        <v>741.25723777294058</v>
      </c>
      <c r="F215" s="200">
        <f t="shared" si="51"/>
        <v>218.01683463910015</v>
      </c>
      <c r="G215" s="200">
        <f t="shared" si="52"/>
        <v>319.23893643582522</v>
      </c>
      <c r="H215" s="200">
        <f t="shared" si="52"/>
        <v>155.7263104565001</v>
      </c>
      <c r="I215" s="200">
        <f t="shared" si="53"/>
        <v>532.58398176123035</v>
      </c>
      <c r="J215" s="33">
        <f t="shared" si="54"/>
        <v>7532.4816367809099</v>
      </c>
    </row>
    <row r="216" spans="1:10" x14ac:dyDescent="0.25">
      <c r="A216" s="125">
        <v>2025</v>
      </c>
      <c r="B216" s="41">
        <v>12</v>
      </c>
      <c r="C216" s="200">
        <f t="shared" si="49"/>
        <v>5126.3232686554356</v>
      </c>
      <c r="D216" s="200">
        <f t="shared" si="50"/>
        <v>606.30481713133747</v>
      </c>
      <c r="E216" s="200">
        <f t="shared" si="51"/>
        <v>763.49495490612867</v>
      </c>
      <c r="F216" s="200">
        <f t="shared" si="51"/>
        <v>224.55733967827314</v>
      </c>
      <c r="G216" s="200">
        <f t="shared" si="52"/>
        <v>328.81610452889993</v>
      </c>
      <c r="H216" s="200">
        <f t="shared" si="52"/>
        <v>160.39809977019507</v>
      </c>
      <c r="I216" s="200">
        <f t="shared" si="53"/>
        <v>548.56150121406722</v>
      </c>
      <c r="J216" s="33">
        <f t="shared" si="54"/>
        <v>7758.4560858843361</v>
      </c>
    </row>
    <row r="217" spans="1:10" x14ac:dyDescent="0.25">
      <c r="A217" s="125">
        <v>2026</v>
      </c>
      <c r="B217" s="41">
        <v>13</v>
      </c>
      <c r="C217" s="200">
        <f t="shared" si="49"/>
        <v>5280.1129667150981</v>
      </c>
      <c r="D217" s="200">
        <f t="shared" si="50"/>
        <v>624.49396164527752</v>
      </c>
      <c r="E217" s="200">
        <f t="shared" si="51"/>
        <v>786.39980355331249</v>
      </c>
      <c r="F217" s="200">
        <f t="shared" si="51"/>
        <v>231.2940598686213</v>
      </c>
      <c r="G217" s="200">
        <f t="shared" si="52"/>
        <v>338.6805876647669</v>
      </c>
      <c r="H217" s="200">
        <f t="shared" si="52"/>
        <v>165.21004276330092</v>
      </c>
      <c r="I217" s="200">
        <f t="shared" si="53"/>
        <v>565.01834625048923</v>
      </c>
      <c r="J217" s="33">
        <f t="shared" si="54"/>
        <v>7991.2097684608661</v>
      </c>
    </row>
    <row r="218" spans="1:10" x14ac:dyDescent="0.25">
      <c r="A218" s="125">
        <v>2027</v>
      </c>
      <c r="B218" s="41">
        <v>14</v>
      </c>
      <c r="C218" s="200">
        <f t="shared" si="49"/>
        <v>5438.5163557165515</v>
      </c>
      <c r="D218" s="200">
        <f t="shared" si="50"/>
        <v>643.22878049463588</v>
      </c>
      <c r="E218" s="200">
        <f t="shared" si="51"/>
        <v>809.99179765991198</v>
      </c>
      <c r="F218" s="200">
        <f t="shared" si="51"/>
        <v>238.23288166468001</v>
      </c>
      <c r="G218" s="200">
        <f t="shared" si="52"/>
        <v>348.84100529470999</v>
      </c>
      <c r="H218" s="200">
        <f t="shared" si="52"/>
        <v>170.16634404619998</v>
      </c>
      <c r="I218" s="200">
        <f t="shared" si="53"/>
        <v>581.96889663800403</v>
      </c>
      <c r="J218" s="33">
        <f t="shared" si="54"/>
        <v>8230.9460615146945</v>
      </c>
    </row>
    <row r="219" spans="1:10" x14ac:dyDescent="0.25">
      <c r="A219" s="125">
        <v>2028</v>
      </c>
      <c r="B219" s="41">
        <v>15</v>
      </c>
      <c r="C219" s="200">
        <f t="shared" si="49"/>
        <v>5601.6718463880488</v>
      </c>
      <c r="D219" s="200">
        <f t="shared" si="50"/>
        <v>662.52564390947509</v>
      </c>
      <c r="E219" s="200">
        <f t="shared" si="51"/>
        <v>834.29155158970934</v>
      </c>
      <c r="F219" s="200">
        <f t="shared" si="51"/>
        <v>245.37986811462039</v>
      </c>
      <c r="G219" s="200">
        <f t="shared" si="52"/>
        <v>359.30623545355132</v>
      </c>
      <c r="H219" s="200">
        <f t="shared" si="52"/>
        <v>175.27133436758601</v>
      </c>
      <c r="I219" s="200">
        <f t="shared" si="53"/>
        <v>599.42796353714402</v>
      </c>
      <c r="J219" s="33">
        <f t="shared" si="54"/>
        <v>8477.874443360135</v>
      </c>
    </row>
    <row r="220" spans="1:10" x14ac:dyDescent="0.25">
      <c r="A220" s="125">
        <v>2029</v>
      </c>
      <c r="B220" s="41">
        <v>16</v>
      </c>
      <c r="C220" s="200">
        <f t="shared" si="49"/>
        <v>5769.722001779689</v>
      </c>
      <c r="D220" s="200">
        <f t="shared" si="50"/>
        <v>682.40141322675925</v>
      </c>
      <c r="E220" s="200">
        <f t="shared" si="51"/>
        <v>859.32029813740053</v>
      </c>
      <c r="F220" s="200">
        <f t="shared" si="51"/>
        <v>252.74126415805898</v>
      </c>
      <c r="G220" s="200">
        <f t="shared" si="52"/>
        <v>370.08542251715772</v>
      </c>
      <c r="H220" s="200">
        <f t="shared" si="52"/>
        <v>180.52947439861356</v>
      </c>
      <c r="I220" s="200">
        <f t="shared" si="53"/>
        <v>617.41080244325826</v>
      </c>
      <c r="J220" s="33">
        <f t="shared" si="54"/>
        <v>8732.2106766609377</v>
      </c>
    </row>
    <row r="221" spans="1:10" x14ac:dyDescent="0.25">
      <c r="A221" s="125">
        <v>2030</v>
      </c>
      <c r="B221" s="41">
        <v>17</v>
      </c>
      <c r="C221" s="200">
        <f t="shared" si="49"/>
        <v>5942.81366183308</v>
      </c>
      <c r="D221" s="200">
        <f t="shared" si="50"/>
        <v>702.87345562356199</v>
      </c>
      <c r="E221" s="200">
        <f t="shared" si="51"/>
        <v>885.09990708152247</v>
      </c>
      <c r="F221" s="200">
        <f t="shared" si="51"/>
        <v>260.32350208280076</v>
      </c>
      <c r="G221" s="200">
        <f t="shared" si="52"/>
        <v>381.1879851926725</v>
      </c>
      <c r="H221" s="200">
        <f t="shared" si="52"/>
        <v>185.94535863057195</v>
      </c>
      <c r="I221" s="200">
        <f t="shared" si="53"/>
        <v>635.93312651655606</v>
      </c>
      <c r="J221" s="33">
        <f t="shared" si="54"/>
        <v>8994.1769969607667</v>
      </c>
    </row>
    <row r="222" spans="1:10" x14ac:dyDescent="0.25">
      <c r="A222" s="125">
        <v>2031</v>
      </c>
      <c r="B222" s="41">
        <v>18</v>
      </c>
      <c r="C222" s="200">
        <f t="shared" si="49"/>
        <v>6121.0980716880722</v>
      </c>
      <c r="D222" s="200">
        <f t="shared" si="50"/>
        <v>723.95965929226895</v>
      </c>
      <c r="E222" s="200">
        <f t="shared" si="51"/>
        <v>911.65290429396805</v>
      </c>
      <c r="F222" s="200">
        <f t="shared" si="51"/>
        <v>268.13320714528476</v>
      </c>
      <c r="G222" s="200">
        <f t="shared" si="52"/>
        <v>392.6236247484527</v>
      </c>
      <c r="H222" s="200">
        <f t="shared" si="52"/>
        <v>191.52371938948909</v>
      </c>
      <c r="I222" s="200">
        <f t="shared" si="53"/>
        <v>655.01112031205275</v>
      </c>
      <c r="J222" s="33">
        <f t="shared" si="54"/>
        <v>9264.0023068695864</v>
      </c>
    </row>
    <row r="223" spans="1:10" x14ac:dyDescent="0.25">
      <c r="A223" s="125">
        <v>2032</v>
      </c>
      <c r="B223" s="41">
        <v>19</v>
      </c>
      <c r="C223" s="200">
        <f t="shared" si="49"/>
        <v>6304.7310138387138</v>
      </c>
      <c r="D223" s="200">
        <f t="shared" si="50"/>
        <v>745.67844907103688</v>
      </c>
      <c r="E223" s="200">
        <f t="shared" si="51"/>
        <v>939.00249142278722</v>
      </c>
      <c r="F223" s="200">
        <f t="shared" si="51"/>
        <v>276.17720335964327</v>
      </c>
      <c r="G223" s="200">
        <f t="shared" si="52"/>
        <v>404.40233349090624</v>
      </c>
      <c r="H223" s="200">
        <f t="shared" si="52"/>
        <v>197.26943097117379</v>
      </c>
      <c r="I223" s="200">
        <f t="shared" si="53"/>
        <v>674.66145392141436</v>
      </c>
      <c r="J223" s="33">
        <f t="shared" si="54"/>
        <v>9541.9223760756759</v>
      </c>
    </row>
    <row r="224" spans="1:10" x14ac:dyDescent="0.25">
      <c r="A224" s="125">
        <v>2033</v>
      </c>
      <c r="B224" s="41">
        <v>20</v>
      </c>
      <c r="C224" s="200">
        <f t="shared" si="49"/>
        <v>6493.8729442538752</v>
      </c>
      <c r="D224" s="200">
        <f t="shared" si="50"/>
        <v>768.04880254316799</v>
      </c>
      <c r="E224" s="200">
        <f t="shared" si="51"/>
        <v>967.17256616547081</v>
      </c>
      <c r="F224" s="200">
        <f t="shared" si="51"/>
        <v>284.46251946043259</v>
      </c>
      <c r="G224" s="200">
        <f t="shared" si="52"/>
        <v>416.5344034956334</v>
      </c>
      <c r="H224" s="200">
        <f t="shared" si="52"/>
        <v>203.187513900309</v>
      </c>
      <c r="I224" s="200">
        <f t="shared" si="53"/>
        <v>694.90129753905671</v>
      </c>
      <c r="J224" s="33">
        <f t="shared" si="54"/>
        <v>9828.180047357946</v>
      </c>
    </row>
    <row r="225" spans="1:14" x14ac:dyDescent="0.25">
      <c r="A225" s="125">
        <v>2034</v>
      </c>
      <c r="B225" s="41">
        <v>21</v>
      </c>
      <c r="C225" s="200">
        <f t="shared" si="49"/>
        <v>6688.6891325814904</v>
      </c>
      <c r="D225" s="200">
        <f t="shared" si="50"/>
        <v>791.09026661946291</v>
      </c>
      <c r="E225" s="200">
        <f t="shared" si="51"/>
        <v>996.18774315043493</v>
      </c>
      <c r="F225" s="200">
        <f t="shared" si="51"/>
        <v>292.9963950442455</v>
      </c>
      <c r="G225" s="200">
        <f t="shared" si="52"/>
        <v>429.03043560050236</v>
      </c>
      <c r="H225" s="200">
        <f t="shared" si="52"/>
        <v>209.28313931731822</v>
      </c>
      <c r="I225" s="200">
        <f t="shared" si="53"/>
        <v>715.74833646522836</v>
      </c>
      <c r="J225" s="33">
        <f t="shared" si="54"/>
        <v>10123.025448778682</v>
      </c>
    </row>
    <row r="226" spans="1:14" x14ac:dyDescent="0.25">
      <c r="A226" s="125">
        <v>2035</v>
      </c>
      <c r="B226" s="41">
        <v>22</v>
      </c>
      <c r="C226" s="200">
        <f t="shared" si="49"/>
        <v>6889.3498065589365</v>
      </c>
      <c r="D226" s="200">
        <f t="shared" si="50"/>
        <v>814.82297461804694</v>
      </c>
      <c r="E226" s="200">
        <f t="shared" si="51"/>
        <v>1026.0733754449479</v>
      </c>
      <c r="F226" s="200">
        <f t="shared" si="51"/>
        <v>301.78628689557291</v>
      </c>
      <c r="G226" s="200">
        <f t="shared" si="52"/>
        <v>441.90134866851747</v>
      </c>
      <c r="H226" s="200">
        <f t="shared" si="52"/>
        <v>215.56163349683777</v>
      </c>
      <c r="I226" s="200">
        <f t="shared" si="53"/>
        <v>737.22078655918529</v>
      </c>
      <c r="J226" s="33">
        <f t="shared" si="54"/>
        <v>10426.716212242045</v>
      </c>
    </row>
    <row r="227" spans="1:14" x14ac:dyDescent="0.25">
      <c r="A227" s="125">
        <v>2036</v>
      </c>
      <c r="B227" s="41">
        <v>23</v>
      </c>
      <c r="C227" s="200">
        <f t="shared" si="49"/>
        <v>7096.030300755705</v>
      </c>
      <c r="D227" s="200">
        <f t="shared" si="50"/>
        <v>839.26766385658834</v>
      </c>
      <c r="E227" s="200">
        <f t="shared" si="51"/>
        <v>1056.8555767082964</v>
      </c>
      <c r="F227" s="200">
        <f t="shared" si="51"/>
        <v>310.83987550244012</v>
      </c>
      <c r="G227" s="200">
        <f t="shared" si="52"/>
        <v>455.15838912857305</v>
      </c>
      <c r="H227" s="200">
        <f t="shared" si="52"/>
        <v>222.02848250174296</v>
      </c>
      <c r="I227" s="200">
        <f t="shared" si="53"/>
        <v>759.33741015596092</v>
      </c>
      <c r="J227" s="33">
        <f t="shared" si="54"/>
        <v>10739.517698609307</v>
      </c>
    </row>
    <row r="228" spans="1:14" x14ac:dyDescent="0.25">
      <c r="A228" s="125">
        <v>2037</v>
      </c>
      <c r="B228" s="41">
        <v>24</v>
      </c>
      <c r="C228" s="200">
        <f t="shared" si="49"/>
        <v>7308.9112097783745</v>
      </c>
      <c r="D228" s="200">
        <f t="shared" si="50"/>
        <v>864.44569377228584</v>
      </c>
      <c r="E228" s="200">
        <f t="shared" si="51"/>
        <v>1088.5612440095451</v>
      </c>
      <c r="F228" s="200">
        <f t="shared" si="51"/>
        <v>320.16507176751327</v>
      </c>
      <c r="G228" s="200">
        <f t="shared" si="52"/>
        <v>468.81314080243015</v>
      </c>
      <c r="H228" s="200">
        <f t="shared" si="52"/>
        <v>228.6893369767952</v>
      </c>
      <c r="I228" s="200">
        <f t="shared" si="53"/>
        <v>782.11753246063961</v>
      </c>
      <c r="J228" s="33">
        <f t="shared" si="54"/>
        <v>11061.703229567584</v>
      </c>
    </row>
    <row r="229" spans="1:14" x14ac:dyDescent="0.25">
      <c r="A229" s="125">
        <v>2038</v>
      </c>
      <c r="B229" s="41">
        <v>25</v>
      </c>
      <c r="C229" s="200">
        <f t="shared" si="49"/>
        <v>7528.1785460717256</v>
      </c>
      <c r="D229" s="200">
        <f t="shared" si="50"/>
        <v>890.37906458545444</v>
      </c>
      <c r="E229" s="200">
        <f t="shared" si="51"/>
        <v>1121.2180813298314</v>
      </c>
      <c r="F229" s="200">
        <f t="shared" si="51"/>
        <v>329.77002392053868</v>
      </c>
      <c r="G229" s="200">
        <f t="shared" si="52"/>
        <v>482.87753502650304</v>
      </c>
      <c r="H229" s="200">
        <f t="shared" si="52"/>
        <v>235.55001708609905</v>
      </c>
      <c r="I229" s="200">
        <f t="shared" si="53"/>
        <v>805.58105843445878</v>
      </c>
      <c r="J229" s="33">
        <f t="shared" si="54"/>
        <v>11393.55432645461</v>
      </c>
    </row>
    <row r="230" spans="1:14" x14ac:dyDescent="0.25">
      <c r="A230" s="125">
        <v>2039</v>
      </c>
      <c r="B230" s="41">
        <v>26</v>
      </c>
      <c r="C230" s="200">
        <f t="shared" si="49"/>
        <v>7754.0239024538787</v>
      </c>
      <c r="D230" s="200">
        <f t="shared" si="50"/>
        <v>917.09043652301818</v>
      </c>
      <c r="E230" s="200">
        <f t="shared" si="51"/>
        <v>1154.8546237697267</v>
      </c>
      <c r="F230" s="200">
        <f t="shared" si="51"/>
        <v>339.6631246381549</v>
      </c>
      <c r="G230" s="200">
        <f t="shared" si="52"/>
        <v>497.36386107729822</v>
      </c>
      <c r="H230" s="200">
        <f t="shared" si="52"/>
        <v>242.61651759868209</v>
      </c>
      <c r="I230" s="200">
        <f t="shared" si="53"/>
        <v>829.74849018749273</v>
      </c>
      <c r="J230" s="33">
        <f t="shared" si="54"/>
        <v>11735.360956248251</v>
      </c>
    </row>
    <row r="231" spans="1:14" x14ac:dyDescent="0.25">
      <c r="A231" s="125">
        <v>2040</v>
      </c>
      <c r="B231" s="41">
        <v>27</v>
      </c>
      <c r="C231" s="200">
        <f t="shared" si="49"/>
        <v>7986.6446195274939</v>
      </c>
      <c r="D231" s="200">
        <f t="shared" si="50"/>
        <v>944.60314961870858</v>
      </c>
      <c r="E231" s="200">
        <f t="shared" si="51"/>
        <v>1189.5002624828185</v>
      </c>
      <c r="F231" s="200">
        <f t="shared" si="51"/>
        <v>349.85301837729946</v>
      </c>
      <c r="G231" s="200">
        <f t="shared" si="52"/>
        <v>512.28477690961711</v>
      </c>
      <c r="H231" s="200">
        <f t="shared" si="52"/>
        <v>249.89501312664248</v>
      </c>
      <c r="I231" s="200">
        <f t="shared" si="53"/>
        <v>854.64094489311719</v>
      </c>
      <c r="J231" s="33">
        <f t="shared" si="54"/>
        <v>12087.421784935697</v>
      </c>
    </row>
    <row r="232" spans="1:14" x14ac:dyDescent="0.25">
      <c r="A232" s="125">
        <v>2041</v>
      </c>
      <c r="B232" s="41">
        <v>28</v>
      </c>
      <c r="C232" s="200">
        <f t="shared" si="49"/>
        <v>8226.2439581133185</v>
      </c>
      <c r="D232" s="200">
        <f t="shared" si="50"/>
        <v>972.94124410726988</v>
      </c>
      <c r="E232" s="200">
        <f t="shared" si="51"/>
        <v>1225.1852703573029</v>
      </c>
      <c r="F232" s="200">
        <f t="shared" si="51"/>
        <v>360.34860892861849</v>
      </c>
      <c r="G232" s="200">
        <f t="shared" si="52"/>
        <v>527.65332021690563</v>
      </c>
      <c r="H232" s="200">
        <f t="shared" si="52"/>
        <v>257.3918635204418</v>
      </c>
      <c r="I232" s="200">
        <f t="shared" si="53"/>
        <v>880.28017323991094</v>
      </c>
      <c r="J232" s="33">
        <f t="shared" si="54"/>
        <v>12450.044438483766</v>
      </c>
    </row>
    <row r="233" spans="1:14" x14ac:dyDescent="0.25">
      <c r="A233" s="125">
        <v>2042</v>
      </c>
      <c r="B233" s="41">
        <v>29</v>
      </c>
      <c r="C233" s="200">
        <f t="shared" si="49"/>
        <v>8473.0312768567183</v>
      </c>
      <c r="D233" s="200">
        <f t="shared" si="50"/>
        <v>1002.1294814304879</v>
      </c>
      <c r="E233" s="200">
        <f t="shared" si="51"/>
        <v>1261.9408284680219</v>
      </c>
      <c r="F233" s="200">
        <f t="shared" si="51"/>
        <v>371.159067196477</v>
      </c>
      <c r="G233" s="200">
        <f t="shared" si="52"/>
        <v>543.48291982341277</v>
      </c>
      <c r="H233" s="200">
        <f t="shared" si="52"/>
        <v>265.11361942605498</v>
      </c>
      <c r="I233" s="200">
        <f t="shared" si="53"/>
        <v>906.68857843710816</v>
      </c>
      <c r="J233" s="33">
        <f t="shared" si="54"/>
        <v>12823.545771638279</v>
      </c>
      <c r="K233" s="95"/>
      <c r="L233" s="41" t="s">
        <v>520</v>
      </c>
      <c r="M233" s="125" t="s">
        <v>32</v>
      </c>
      <c r="N233" s="125" t="s">
        <v>521</v>
      </c>
    </row>
    <row r="234" spans="1:14" x14ac:dyDescent="0.25">
      <c r="A234" s="125">
        <v>2043</v>
      </c>
      <c r="B234" s="41">
        <v>30</v>
      </c>
      <c r="C234" s="200">
        <f t="shared" si="49"/>
        <v>8727.2222151624192</v>
      </c>
      <c r="D234" s="200">
        <f t="shared" si="50"/>
        <v>1032.1933658734026</v>
      </c>
      <c r="E234" s="200">
        <f t="shared" si="51"/>
        <v>1299.7990533220623</v>
      </c>
      <c r="F234" s="200">
        <f t="shared" si="51"/>
        <v>382.29383921237132</v>
      </c>
      <c r="G234" s="200">
        <f t="shared" si="52"/>
        <v>559.78740741811509</v>
      </c>
      <c r="H234" s="200">
        <f t="shared" si="52"/>
        <v>273.06702800883664</v>
      </c>
      <c r="I234" s="200">
        <f t="shared" si="53"/>
        <v>933.88923579022128</v>
      </c>
      <c r="J234" s="33">
        <f t="shared" si="54"/>
        <v>13208.252144787426</v>
      </c>
      <c r="K234" s="41" t="s">
        <v>517</v>
      </c>
      <c r="L234" s="200">
        <f>SUM(J205:J234)</f>
        <v>266654.19863770186</v>
      </c>
      <c r="M234" s="371">
        <f>H33</f>
        <v>1054603347.4524027</v>
      </c>
      <c r="N234" s="95">
        <f>M234/(L234*365)</f>
        <v>10.835472512177823</v>
      </c>
    </row>
    <row r="235" spans="1:14" x14ac:dyDescent="0.25">
      <c r="A235" s="125">
        <v>2044</v>
      </c>
      <c r="B235" s="41">
        <v>31</v>
      </c>
      <c r="C235" s="200">
        <f t="shared" si="49"/>
        <v>8989.0388816172926</v>
      </c>
      <c r="D235" s="200">
        <f t="shared" si="50"/>
        <v>1063.1591668496048</v>
      </c>
      <c r="E235" s="200">
        <f>E197*$B$161</f>
        <v>1338.7930249217247</v>
      </c>
      <c r="F235" s="200">
        <f>F197*$B$161</f>
        <v>393.76265438874253</v>
      </c>
      <c r="G235" s="200">
        <f>G197*$B$162</f>
        <v>576.5810296406587</v>
      </c>
      <c r="H235" s="200">
        <f>H197*$B$162</f>
        <v>281.25903884910178</v>
      </c>
      <c r="I235" s="200">
        <f t="shared" si="53"/>
        <v>961.90591286392817</v>
      </c>
      <c r="J235" s="33">
        <f>SUM(C235:I235)</f>
        <v>13604.499709131051</v>
      </c>
      <c r="K235" s="41" t="s">
        <v>518</v>
      </c>
      <c r="L235" s="200">
        <f>SUM(J206:J235)</f>
        <v>274653.82459683297</v>
      </c>
      <c r="M235" s="371">
        <f>H80</f>
        <v>1171760817.0857739</v>
      </c>
      <c r="N235" s="95">
        <f>M235/(L235*365)</f>
        <v>11.688545073663589</v>
      </c>
    </row>
    <row r="236" spans="1:14" ht="15.75" thickBot="1" x14ac:dyDescent="0.3">
      <c r="A236" s="125">
        <v>2045</v>
      </c>
      <c r="B236" s="41">
        <v>32</v>
      </c>
      <c r="C236" s="200">
        <f t="shared" si="49"/>
        <v>9258.71004806581</v>
      </c>
      <c r="D236" s="200">
        <f t="shared" si="50"/>
        <v>1095.0539418550927</v>
      </c>
      <c r="E236" s="200">
        <f>E198*$B$161</f>
        <v>1378.9568156693761</v>
      </c>
      <c r="F236" s="200">
        <f>F198*$B$161</f>
        <v>405.57553402040475</v>
      </c>
      <c r="G236" s="200">
        <f>G198*$B$162</f>
        <v>593.87846052987834</v>
      </c>
      <c r="H236" s="200">
        <f>H198*$B$162</f>
        <v>289.69681001457479</v>
      </c>
      <c r="I236" s="200">
        <f t="shared" si="53"/>
        <v>990.76309024984585</v>
      </c>
      <c r="J236" s="33">
        <f>SUM(C236:I236)</f>
        <v>14012.634700404984</v>
      </c>
      <c r="K236" s="41" t="s">
        <v>519</v>
      </c>
      <c r="L236" s="200">
        <f>SUM(J207:J236)</f>
        <v>282893.43933473789</v>
      </c>
      <c r="M236" s="371">
        <f>H126</f>
        <v>893782715.87308729</v>
      </c>
      <c r="N236" s="95">
        <f>M236/(L236*365)</f>
        <v>8.6559793513550645</v>
      </c>
    </row>
    <row r="237" spans="1:14" ht="15.75" thickBot="1" x14ac:dyDescent="0.3">
      <c r="A237" s="70"/>
      <c r="B237" s="71" t="s">
        <v>54</v>
      </c>
      <c r="C237" s="518">
        <f t="shared" ref="C237:I237" si="55">C199</f>
        <v>0.03</v>
      </c>
      <c r="D237" s="518">
        <f t="shared" si="55"/>
        <v>0.03</v>
      </c>
      <c r="E237" s="518">
        <f t="shared" si="55"/>
        <v>0.03</v>
      </c>
      <c r="F237" s="518">
        <f t="shared" si="55"/>
        <v>0.03</v>
      </c>
      <c r="G237" s="518">
        <f t="shared" si="55"/>
        <v>0.03</v>
      </c>
      <c r="H237" s="518">
        <f t="shared" si="55"/>
        <v>0.03</v>
      </c>
      <c r="I237" s="518">
        <f t="shared" si="55"/>
        <v>0.03</v>
      </c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DATOS DE ENTRADA</vt:lpstr>
      <vt:lpstr>CO </vt:lpstr>
      <vt:lpstr>VT </vt:lpstr>
      <vt:lpstr>2 CARRILES HCM</vt:lpstr>
      <vt:lpstr>2 CARR CAP VIAL</vt:lpstr>
      <vt:lpstr>AUTOPIS CAPACIDAD VIAL</vt:lpstr>
      <vt:lpstr>N CARRILES HCM</vt:lpstr>
      <vt:lpstr>Cálculos análisis C-B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pcimt</dc:creator>
  <cp:lastModifiedBy>INFORMATICA</cp:lastModifiedBy>
  <cp:lastPrinted>2013-07-24T18:59:32Z</cp:lastPrinted>
  <dcterms:created xsi:type="dcterms:W3CDTF">2013-04-12T15:44:57Z</dcterms:created>
  <dcterms:modified xsi:type="dcterms:W3CDTF">2014-08-25T18:50:56Z</dcterms:modified>
</cp:coreProperties>
</file>