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0385" yWindow="4095" windowWidth="20370" windowHeight="3885" tabRatio="860" firstSheet="7" activeTab="14"/>
  </bookViews>
  <sheets>
    <sheet name="PRESENTACIÓN" sheetId="1" r:id="rId1"/>
    <sheet name="INICIO" sheetId="10" r:id="rId2"/>
    <sheet name="GEOMETRIA DEL MURO" sheetId="9" r:id="rId3"/>
    <sheet name="PROPIEDADES DE LOS SUELOS" sheetId="14" r:id="rId4"/>
    <sheet name="PROPIEDADES DEL GEOSINTETICO" sheetId="16" r:id="rId5"/>
    <sheet name="CARGAS DISTRIBUIDAS" sheetId="15" r:id="rId6"/>
    <sheet name="CARGAS CONCENTRADAS" sheetId="7" r:id="rId7"/>
    <sheet name="MC ANALISIS EXTERNO" sheetId="3" r:id="rId8"/>
    <sheet name="MC ANALISIS INTERNO" sheetId="4" r:id="rId9"/>
    <sheet name="REVISION" sheetId="18" r:id="rId10"/>
    <sheet name="DISEÑO" sheetId="5" r:id="rId11"/>
    <sheet name="DISEÑO POR SISMO" sheetId="8" r:id="rId12"/>
    <sheet name="DISEÑO FINAL" sheetId="19" r:id="rId13"/>
    <sheet name="REPORTE FINAL" sheetId="12" r:id="rId14"/>
    <sheet name="DISEÑO ALTERNATIVO" sheetId="21" r:id="rId15"/>
  </sheets>
  <definedNames>
    <definedName name="_xlnm.Print_Area" localSheetId="6">'CARGAS CONCENTRADAS'!$A$1:$T$82</definedName>
    <definedName name="_xlnm.Print_Area" localSheetId="5">'CARGAS DISTRIBUIDAS'!$A$1:$L$40</definedName>
    <definedName name="_xlnm.Print_Area" localSheetId="10">DISEÑO!$A$1:$N$136</definedName>
    <definedName name="_xlnm.Print_Area" localSheetId="14">'DISEÑO ALTERNATIVO'!$A$1:$N$77</definedName>
    <definedName name="_xlnm.Print_Area" localSheetId="12">'DISEÑO FINAL'!$A$1:$L$50</definedName>
    <definedName name="_xlnm.Print_Area" localSheetId="11">'DISEÑO POR SISMO'!$A$1:$Q$75</definedName>
    <definedName name="_xlnm.Print_Area" localSheetId="2">'GEOMETRIA DEL MURO'!$A$1:$T$49</definedName>
    <definedName name="_xlnm.Print_Area" localSheetId="1">INICIO!$A$1:$L$39</definedName>
    <definedName name="_xlnm.Print_Area" localSheetId="7">'MC ANALISIS EXTERNO'!$A$1:$L$243</definedName>
    <definedName name="_xlnm.Print_Area" localSheetId="8">'MC ANALISIS INTERNO'!$A$1:$O$144</definedName>
    <definedName name="_xlnm.Print_Area" localSheetId="0">PRESENTACIÓN!$J$1:$Q$26</definedName>
    <definedName name="_xlnm.Print_Area" localSheetId="3">'PROPIEDADES DE LOS SUELOS'!$A$1:$O$35</definedName>
    <definedName name="_xlnm.Print_Area" localSheetId="4">'PROPIEDADES DEL GEOSINTETICO'!$A$1:$L$37</definedName>
    <definedName name="_xlnm.Print_Area" localSheetId="13">'REPORTE FINAL'!$A$1:$I$68</definedName>
    <definedName name="_xlnm.Print_Area" localSheetId="9">REVISION!$A$1:$M$86</definedName>
    <definedName name="_xlnm.Print_Titles" localSheetId="14">'DISEÑO ALTERNATIVO'!$1:$10</definedName>
  </definedNames>
  <calcPr calcId="145621"/>
</workbook>
</file>

<file path=xl/calcChain.xml><?xml version="1.0" encoding="utf-8"?>
<calcChain xmlns="http://schemas.openxmlformats.org/spreadsheetml/2006/main">
  <c r="C74" i="21" l="1"/>
  <c r="C75" i="21"/>
  <c r="C76" i="21"/>
  <c r="C77" i="21"/>
  <c r="A78" i="21"/>
  <c r="C78" i="21"/>
  <c r="A79" i="21"/>
  <c r="C79" i="21"/>
  <c r="A80" i="21"/>
  <c r="C80" i="21"/>
  <c r="A81" i="21"/>
  <c r="C81" i="21"/>
  <c r="A82" i="21"/>
  <c r="C82" i="21"/>
  <c r="A83" i="21"/>
  <c r="C83" i="21"/>
  <c r="A84" i="21"/>
  <c r="C84" i="21"/>
  <c r="A85" i="21"/>
  <c r="C85" i="21"/>
  <c r="A86" i="21"/>
  <c r="C86" i="21"/>
  <c r="A87" i="21"/>
  <c r="C87" i="21"/>
  <c r="A88" i="21"/>
  <c r="C88" i="21"/>
  <c r="A89" i="21"/>
  <c r="C89" i="21"/>
  <c r="A90" i="21"/>
  <c r="C90" i="21"/>
  <c r="A91" i="21"/>
  <c r="C91" i="21"/>
  <c r="A92" i="21"/>
  <c r="C92" i="21"/>
  <c r="A93" i="21"/>
  <c r="C93" i="21"/>
  <c r="A94" i="21"/>
  <c r="C94" i="21"/>
  <c r="A95" i="21"/>
  <c r="C95" i="21"/>
  <c r="A96" i="21"/>
  <c r="C96" i="21"/>
  <c r="A97" i="21"/>
  <c r="C97" i="21"/>
  <c r="A98" i="21"/>
  <c r="C98" i="21"/>
  <c r="A99" i="21"/>
  <c r="C99" i="21"/>
  <c r="A100" i="21"/>
  <c r="C100" i="21"/>
  <c r="A101" i="21"/>
  <c r="C101" i="21"/>
  <c r="A102" i="21"/>
  <c r="C102" i="21"/>
  <c r="A103" i="21"/>
  <c r="C103" i="21"/>
  <c r="A104" i="21"/>
  <c r="C104" i="21"/>
  <c r="A105" i="21"/>
  <c r="C105" i="21"/>
  <c r="A106" i="21"/>
  <c r="C106" i="21"/>
  <c r="A107" i="21"/>
  <c r="C107" i="21"/>
  <c r="A108" i="21"/>
  <c r="C108" i="21"/>
  <c r="A109" i="21"/>
  <c r="C109" i="21"/>
  <c r="A110" i="21"/>
  <c r="C110" i="21"/>
  <c r="A111" i="21"/>
  <c r="C111" i="21"/>
  <c r="A112" i="21"/>
  <c r="C112" i="21"/>
  <c r="A113" i="21"/>
  <c r="C113" i="21"/>
  <c r="A114" i="21"/>
  <c r="A115" i="21" s="1"/>
  <c r="A116" i="21" s="1"/>
  <c r="A117" i="21" s="1"/>
  <c r="C114" i="21"/>
  <c r="G114" i="21"/>
  <c r="C115" i="21"/>
  <c r="L115" i="21" s="1"/>
  <c r="C116" i="21"/>
  <c r="C117" i="21"/>
  <c r="A118" i="21"/>
  <c r="A119" i="21" s="1"/>
  <c r="A120" i="21" s="1"/>
  <c r="A121" i="21" s="1"/>
  <c r="C118" i="21"/>
  <c r="C119" i="21"/>
  <c r="G119" i="21"/>
  <c r="L119" i="21"/>
  <c r="C120" i="21"/>
  <c r="C121" i="21"/>
  <c r="A122" i="21"/>
  <c r="A123" i="21" s="1"/>
  <c r="A124" i="21" s="1"/>
  <c r="A125" i="21" s="1"/>
  <c r="C122" i="21"/>
  <c r="G122" i="21"/>
  <c r="C123" i="21"/>
  <c r="L123" i="21" s="1"/>
  <c r="C124" i="21"/>
  <c r="C125" i="21"/>
  <c r="A126" i="21"/>
  <c r="A127" i="21" s="1"/>
  <c r="A128" i="21" s="1"/>
  <c r="C126" i="21"/>
  <c r="C127" i="21"/>
  <c r="G127" i="21"/>
  <c r="L127" i="21"/>
  <c r="C128" i="21"/>
  <c r="A129" i="2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C129" i="21"/>
  <c r="C130" i="21"/>
  <c r="G130" i="21"/>
  <c r="C131" i="21"/>
  <c r="C132" i="21"/>
  <c r="G132" i="21"/>
  <c r="C133" i="21"/>
  <c r="C134" i="21"/>
  <c r="C135" i="21"/>
  <c r="G135" i="21"/>
  <c r="C136" i="21"/>
  <c r="C137" i="21"/>
  <c r="C138" i="21"/>
  <c r="C139" i="21"/>
  <c r="G139" i="21"/>
  <c r="C140" i="21"/>
  <c r="C141" i="21"/>
  <c r="C142" i="21"/>
  <c r="C143" i="21"/>
  <c r="G143" i="21"/>
  <c r="C144" i="21"/>
  <c r="C145" i="21"/>
  <c r="C146" i="21"/>
  <c r="C147" i="21"/>
  <c r="C148" i="21"/>
  <c r="G148" i="21"/>
  <c r="C149" i="21"/>
  <c r="C150" i="21"/>
  <c r="C151" i="21"/>
  <c r="C152" i="21"/>
  <c r="G152" i="21"/>
  <c r="C153" i="21"/>
  <c r="C154" i="21"/>
  <c r="C155" i="21"/>
  <c r="C156" i="21"/>
  <c r="C157" i="21"/>
  <c r="C158" i="21"/>
  <c r="C159" i="21"/>
  <c r="C160" i="21"/>
  <c r="C161" i="21"/>
  <c r="C162" i="21"/>
  <c r="C163" i="21"/>
  <c r="C164" i="21"/>
  <c r="C165" i="21"/>
  <c r="C166" i="21"/>
  <c r="C167" i="21"/>
  <c r="C168" i="21"/>
  <c r="C169" i="21"/>
  <c r="C170" i="21"/>
  <c r="L139" i="21" l="1"/>
  <c r="H139" i="21" s="1"/>
  <c r="M139" i="21" s="1"/>
  <c r="L133" i="21"/>
  <c r="H133" i="21" s="1"/>
  <c r="M133" i="21" s="1"/>
  <c r="L132" i="21"/>
  <c r="N132" i="21" s="1"/>
  <c r="L130" i="21"/>
  <c r="N130" i="21" s="1"/>
  <c r="L129" i="21"/>
  <c r="N129" i="21" s="1"/>
  <c r="L124" i="21"/>
  <c r="H124" i="21" s="1"/>
  <c r="M124" i="21" s="1"/>
  <c r="L118" i="21"/>
  <c r="L111" i="21"/>
  <c r="N111" i="21" s="1"/>
  <c r="L109" i="21"/>
  <c r="H109" i="21" s="1"/>
  <c r="M109" i="21" s="1"/>
  <c r="L107" i="21"/>
  <c r="N107" i="21" s="1"/>
  <c r="L105" i="21"/>
  <c r="N105" i="21" s="1"/>
  <c r="L103" i="21"/>
  <c r="H103" i="21" s="1"/>
  <c r="M103" i="21" s="1"/>
  <c r="L101" i="21"/>
  <c r="N101" i="21" s="1"/>
  <c r="L99" i="21"/>
  <c r="N99" i="21" s="1"/>
  <c r="L97" i="21"/>
  <c r="N97" i="21" s="1"/>
  <c r="L95" i="21"/>
  <c r="N95" i="21" s="1"/>
  <c r="L93" i="21"/>
  <c r="H93" i="21" s="1"/>
  <c r="M93" i="21" s="1"/>
  <c r="L91" i="21"/>
  <c r="N91" i="21" s="1"/>
  <c r="L89" i="21"/>
  <c r="N89" i="21" s="1"/>
  <c r="L87" i="21"/>
  <c r="H87" i="21" s="1"/>
  <c r="M87" i="21" s="1"/>
  <c r="L85" i="21"/>
  <c r="N85" i="21" s="1"/>
  <c r="L83" i="21"/>
  <c r="N83" i="21" s="1"/>
  <c r="L81" i="21"/>
  <c r="N81" i="21" s="1"/>
  <c r="L79" i="21"/>
  <c r="N79" i="21" s="1"/>
  <c r="L77" i="21"/>
  <c r="H77" i="21" s="1"/>
  <c r="M77" i="21" s="1"/>
  <c r="L75" i="21"/>
  <c r="N75" i="21" s="1"/>
  <c r="L126" i="21"/>
  <c r="L116" i="21"/>
  <c r="N116" i="21" s="1"/>
  <c r="L128" i="21"/>
  <c r="N128" i="21" s="1"/>
  <c r="L122" i="21"/>
  <c r="L120" i="21"/>
  <c r="H120" i="21" s="1"/>
  <c r="M120" i="21" s="1"/>
  <c r="L114" i="21"/>
  <c r="J145" i="21"/>
  <c r="K145" i="21" s="1"/>
  <c r="J149" i="21"/>
  <c r="K149" i="21" s="1"/>
  <c r="L154" i="21"/>
  <c r="H130" i="21"/>
  <c r="M130" i="21" s="1"/>
  <c r="H107" i="21"/>
  <c r="M107" i="21" s="1"/>
  <c r="H91" i="21"/>
  <c r="M91" i="21" s="1"/>
  <c r="L155" i="21"/>
  <c r="L147" i="21"/>
  <c r="H131" i="21"/>
  <c r="M131" i="21" s="1"/>
  <c r="L121" i="21"/>
  <c r="N115" i="21"/>
  <c r="H115" i="21"/>
  <c r="M115" i="21" s="1"/>
  <c r="H105" i="21"/>
  <c r="M105" i="21" s="1"/>
  <c r="H97" i="21"/>
  <c r="M97" i="21" s="1"/>
  <c r="H89" i="21"/>
  <c r="M89" i="21" s="1"/>
  <c r="H81" i="21"/>
  <c r="M81" i="21" s="1"/>
  <c r="L160" i="21"/>
  <c r="L156" i="21"/>
  <c r="L152" i="21"/>
  <c r="L148" i="21"/>
  <c r="L144" i="21"/>
  <c r="H132" i="21"/>
  <c r="M132" i="21" s="1"/>
  <c r="H111" i="21"/>
  <c r="M111" i="21" s="1"/>
  <c r="H95" i="21"/>
  <c r="M95" i="21" s="1"/>
  <c r="H79" i="21"/>
  <c r="M79" i="21" s="1"/>
  <c r="L158" i="21"/>
  <c r="L150" i="21"/>
  <c r="L146" i="21"/>
  <c r="H128" i="21"/>
  <c r="M128" i="21" s="1"/>
  <c r="H116" i="21"/>
  <c r="M116" i="21" s="1"/>
  <c r="H99" i="21"/>
  <c r="M99" i="21" s="1"/>
  <c r="H83" i="21"/>
  <c r="M83" i="21" s="1"/>
  <c r="H75" i="21"/>
  <c r="M75" i="21" s="1"/>
  <c r="L159" i="21"/>
  <c r="L151" i="21"/>
  <c r="N127" i="21"/>
  <c r="H127" i="21"/>
  <c r="M127" i="21" s="1"/>
  <c r="N123" i="21"/>
  <c r="H123" i="21"/>
  <c r="M123" i="21" s="1"/>
  <c r="N119" i="21"/>
  <c r="H119" i="21"/>
  <c r="M119" i="21" s="1"/>
  <c r="L157" i="21"/>
  <c r="L153" i="21"/>
  <c r="L149" i="21"/>
  <c r="L145" i="21"/>
  <c r="H129" i="21"/>
  <c r="M129" i="21" s="1"/>
  <c r="H101" i="21"/>
  <c r="M101" i="21" s="1"/>
  <c r="H85" i="21"/>
  <c r="M85" i="21" s="1"/>
  <c r="J126" i="21"/>
  <c r="K126" i="21" s="1"/>
  <c r="J112" i="21"/>
  <c r="K112" i="21" s="1"/>
  <c r="L110" i="21"/>
  <c r="L102" i="21"/>
  <c r="L98" i="21"/>
  <c r="L94" i="21"/>
  <c r="L86" i="21"/>
  <c r="L82" i="21"/>
  <c r="L78" i="21"/>
  <c r="L112" i="21"/>
  <c r="D39" i="3"/>
  <c r="D45" i="3" s="1"/>
  <c r="N139" i="21" l="1"/>
  <c r="N133" i="21"/>
  <c r="N120" i="21"/>
  <c r="N126" i="21"/>
  <c r="H126" i="21"/>
  <c r="M126" i="21" s="1"/>
  <c r="N77" i="21"/>
  <c r="N93" i="21"/>
  <c r="N109" i="21"/>
  <c r="N87" i="21"/>
  <c r="N103" i="21"/>
  <c r="N124" i="21"/>
  <c r="N122" i="21"/>
  <c r="H122" i="21"/>
  <c r="M122" i="21" s="1"/>
  <c r="J137" i="21"/>
  <c r="K137" i="21" s="1"/>
  <c r="J141" i="21"/>
  <c r="K141" i="21" s="1"/>
  <c r="N114" i="21"/>
  <c r="H114" i="21"/>
  <c r="M114" i="21" s="1"/>
  <c r="J146" i="21"/>
  <c r="K146" i="21" s="1"/>
  <c r="J129" i="21"/>
  <c r="K129" i="21" s="1"/>
  <c r="J142" i="21"/>
  <c r="K142" i="21" s="1"/>
  <c r="N118" i="21"/>
  <c r="H118" i="21"/>
  <c r="M118" i="21" s="1"/>
  <c r="H84" i="21"/>
  <c r="M84" i="21" s="1"/>
  <c r="H80" i="21"/>
  <c r="M80" i="21" s="1"/>
  <c r="H125" i="21"/>
  <c r="M125" i="21" s="1"/>
  <c r="H76" i="21"/>
  <c r="M76" i="21" s="1"/>
  <c r="H92" i="21"/>
  <c r="M92" i="21" s="1"/>
  <c r="H108" i="21"/>
  <c r="M108" i="21" s="1"/>
  <c r="H117" i="21"/>
  <c r="M117" i="21" s="1"/>
  <c r="H100" i="21"/>
  <c r="M100" i="21" s="1"/>
  <c r="H96" i="21"/>
  <c r="M96" i="21" s="1"/>
  <c r="H88" i="21"/>
  <c r="M88" i="21" s="1"/>
  <c r="H104" i="21"/>
  <c r="M104" i="21" s="1"/>
  <c r="H74" i="21"/>
  <c r="M74" i="21" s="1"/>
  <c r="N78" i="21"/>
  <c r="H78" i="21"/>
  <c r="M78" i="21" s="1"/>
  <c r="N86" i="21"/>
  <c r="H86" i="21"/>
  <c r="M86" i="21" s="1"/>
  <c r="H90" i="21"/>
  <c r="M90" i="21" s="1"/>
  <c r="N98" i="21"/>
  <c r="H98" i="21"/>
  <c r="M98" i="21" s="1"/>
  <c r="N102" i="21"/>
  <c r="H102" i="21"/>
  <c r="M102" i="21" s="1"/>
  <c r="N110" i="21"/>
  <c r="H110" i="21"/>
  <c r="M110" i="21" s="1"/>
  <c r="H151" i="21"/>
  <c r="M151" i="21" s="1"/>
  <c r="N151" i="21"/>
  <c r="H150" i="21"/>
  <c r="M150" i="21" s="1"/>
  <c r="N150" i="21"/>
  <c r="N121" i="21"/>
  <c r="H121" i="21"/>
  <c r="M121" i="21" s="1"/>
  <c r="N112" i="21"/>
  <c r="H112" i="21"/>
  <c r="M112" i="21" s="1"/>
  <c r="H152" i="21"/>
  <c r="M152" i="21" s="1"/>
  <c r="N152" i="21"/>
  <c r="H155" i="21"/>
  <c r="M155" i="21" s="1"/>
  <c r="N155" i="21"/>
  <c r="J120" i="21"/>
  <c r="K120" i="21" s="1"/>
  <c r="J128" i="21"/>
  <c r="K128" i="21" s="1"/>
  <c r="H153" i="21"/>
  <c r="M153" i="21" s="1"/>
  <c r="N153" i="21"/>
  <c r="J158" i="21"/>
  <c r="K158" i="21" s="1"/>
  <c r="H159" i="21"/>
  <c r="M159" i="21" s="1"/>
  <c r="N159" i="21"/>
  <c r="H146" i="21"/>
  <c r="M146" i="21" s="1"/>
  <c r="N146" i="21"/>
  <c r="H158" i="21"/>
  <c r="M158" i="21" s="1"/>
  <c r="N158" i="21"/>
  <c r="H154" i="21"/>
  <c r="M154" i="21" s="1"/>
  <c r="N154" i="21"/>
  <c r="N82" i="21"/>
  <c r="H82" i="21"/>
  <c r="M82" i="21" s="1"/>
  <c r="N94" i="21"/>
  <c r="H94" i="21"/>
  <c r="M94" i="21" s="1"/>
  <c r="H106" i="21"/>
  <c r="M106" i="21" s="1"/>
  <c r="H145" i="21"/>
  <c r="M145" i="21" s="1"/>
  <c r="N145" i="21"/>
  <c r="H157" i="21"/>
  <c r="M157" i="21" s="1"/>
  <c r="N157" i="21"/>
  <c r="H144" i="21"/>
  <c r="M144" i="21" s="1"/>
  <c r="N144" i="21"/>
  <c r="H160" i="21"/>
  <c r="M160" i="21" s="1"/>
  <c r="N160" i="21"/>
  <c r="H149" i="21"/>
  <c r="M149" i="21" s="1"/>
  <c r="N149" i="21"/>
  <c r="J154" i="21"/>
  <c r="K154" i="21" s="1"/>
  <c r="L113" i="21"/>
  <c r="H148" i="21"/>
  <c r="M148" i="21" s="1"/>
  <c r="N148" i="21"/>
  <c r="H156" i="21"/>
  <c r="M156" i="21" s="1"/>
  <c r="N156" i="21"/>
  <c r="H147" i="21"/>
  <c r="M147" i="21" s="1"/>
  <c r="N147" i="21"/>
  <c r="D56" i="4"/>
  <c r="N113" i="21" l="1"/>
  <c r="H113" i="21"/>
  <c r="M113" i="21" s="1"/>
  <c r="J90" i="21"/>
  <c r="K90" i="21" s="1"/>
  <c r="J78" i="21"/>
  <c r="K78" i="21" s="1"/>
  <c r="J125" i="21"/>
  <c r="K125" i="21" s="1"/>
  <c r="J108" i="21"/>
  <c r="K108" i="21" s="1"/>
  <c r="J92" i="21"/>
  <c r="K92" i="21" s="1"/>
  <c r="J84" i="21"/>
  <c r="K84" i="21" s="1"/>
  <c r="J76" i="21"/>
  <c r="K76" i="21" s="1"/>
  <c r="J74" i="21"/>
  <c r="K74" i="21" s="1"/>
  <c r="J102" i="21"/>
  <c r="K102" i="21" s="1"/>
  <c r="J100" i="21"/>
  <c r="K100" i="21" s="1"/>
  <c r="J94" i="21"/>
  <c r="K94" i="21" s="1"/>
  <c r="J121" i="21"/>
  <c r="K121" i="21" s="1"/>
  <c r="J110" i="21"/>
  <c r="K110" i="21" s="1"/>
  <c r="J98" i="21"/>
  <c r="K98" i="21" s="1"/>
  <c r="J82" i="21"/>
  <c r="K82" i="21" s="1"/>
  <c r="J113" i="21"/>
  <c r="K113" i="21" s="1"/>
  <c r="C52" i="21"/>
  <c r="D52" i="21" s="1"/>
  <c r="G161" i="21"/>
  <c r="G162" i="21"/>
  <c r="G163" i="21"/>
  <c r="G164" i="21"/>
  <c r="G165" i="21"/>
  <c r="G166" i="21"/>
  <c r="G167" i="21"/>
  <c r="G168" i="21"/>
  <c r="G169" i="21"/>
  <c r="H161" i="21" l="1"/>
  <c r="H162" i="21"/>
  <c r="H163" i="21"/>
  <c r="H164" i="21"/>
  <c r="H165" i="21"/>
  <c r="H166" i="21"/>
  <c r="H167" i="21"/>
  <c r="H168" i="21"/>
  <c r="H169" i="21"/>
  <c r="D18" i="21" l="1"/>
  <c r="K44" i="21"/>
  <c r="L43" i="21"/>
  <c r="K43" i="21"/>
  <c r="D40" i="21"/>
  <c r="D39" i="21"/>
  <c r="C38" i="21"/>
  <c r="C43" i="12"/>
  <c r="D35" i="21"/>
  <c r="C34" i="21"/>
  <c r="E30" i="21"/>
  <c r="F30" i="21"/>
  <c r="E31" i="21"/>
  <c r="F31" i="21"/>
  <c r="F29" i="21"/>
  <c r="E29" i="21"/>
  <c r="E26" i="21"/>
  <c r="F26" i="21"/>
  <c r="E27" i="21"/>
  <c r="F27" i="21"/>
  <c r="F25" i="21"/>
  <c r="E25" i="21"/>
  <c r="E22" i="21"/>
  <c r="F22" i="21"/>
  <c r="E23" i="21"/>
  <c r="F23" i="21"/>
  <c r="F21" i="21"/>
  <c r="E21" i="21"/>
  <c r="C28" i="21"/>
  <c r="C24" i="21"/>
  <c r="C20" i="21"/>
  <c r="C18" i="21"/>
  <c r="L47" i="21"/>
  <c r="L46" i="21"/>
  <c r="D37" i="21"/>
  <c r="D36" i="21"/>
  <c r="A53" i="21"/>
  <c r="I55" i="12"/>
  <c r="I54" i="12"/>
  <c r="H52" i="12"/>
  <c r="I51" i="12"/>
  <c r="H51" i="12"/>
  <c r="D48" i="12"/>
  <c r="D47" i="12"/>
  <c r="C46" i="12"/>
  <c r="B42" i="12"/>
  <c r="C45" i="12"/>
  <c r="C44" i="12"/>
  <c r="H39" i="12"/>
  <c r="H38" i="12"/>
  <c r="H37" i="12"/>
  <c r="D22" i="12"/>
  <c r="C22" i="12"/>
  <c r="E34" i="12"/>
  <c r="F34" i="12"/>
  <c r="E35" i="12"/>
  <c r="F35" i="12"/>
  <c r="F33" i="12"/>
  <c r="E33" i="12"/>
  <c r="C32" i="12"/>
  <c r="E30" i="12"/>
  <c r="F30" i="12"/>
  <c r="E31" i="12"/>
  <c r="F31" i="12"/>
  <c r="F29" i="12"/>
  <c r="F26" i="12"/>
  <c r="F27" i="12"/>
  <c r="F25" i="12"/>
  <c r="E29" i="12"/>
  <c r="C28" i="12"/>
  <c r="E26" i="12"/>
  <c r="E27" i="12"/>
  <c r="E25" i="12"/>
  <c r="C24" i="12"/>
  <c r="D158" i="21" l="1"/>
  <c r="D132" i="21"/>
  <c r="D137" i="21"/>
  <c r="D155" i="21"/>
  <c r="D139" i="21"/>
  <c r="D111" i="21"/>
  <c r="D103" i="21"/>
  <c r="D95" i="21"/>
  <c r="D87" i="21"/>
  <c r="D79" i="21"/>
  <c r="D141" i="21"/>
  <c r="D147" i="21"/>
  <c r="D114" i="21"/>
  <c r="D156" i="21"/>
  <c r="D136" i="21"/>
  <c r="D119" i="21"/>
  <c r="D102" i="21"/>
  <c r="D92" i="21"/>
  <c r="D80" i="21"/>
  <c r="D74" i="21"/>
  <c r="D122" i="21"/>
  <c r="D130" i="21"/>
  <c r="D101" i="21"/>
  <c r="D85" i="21"/>
  <c r="D135" i="21"/>
  <c r="D112" i="21"/>
  <c r="D133" i="21"/>
  <c r="D138" i="21"/>
  <c r="D150" i="21"/>
  <c r="D159" i="21"/>
  <c r="D142" i="21"/>
  <c r="D118" i="21"/>
  <c r="D105" i="21"/>
  <c r="D97" i="21"/>
  <c r="D89" i="21"/>
  <c r="D81" i="21"/>
  <c r="D148" i="21"/>
  <c r="D153" i="21"/>
  <c r="D124" i="21"/>
  <c r="D160" i="21"/>
  <c r="D143" i="21"/>
  <c r="D126" i="21"/>
  <c r="D121" i="21"/>
  <c r="D110" i="21"/>
  <c r="D104" i="21"/>
  <c r="D98" i="21"/>
  <c r="D86" i="21"/>
  <c r="D76" i="21"/>
  <c r="D151" i="21"/>
  <c r="D131" i="21"/>
  <c r="D152" i="21"/>
  <c r="D109" i="21"/>
  <c r="D93" i="21"/>
  <c r="D77" i="21"/>
  <c r="D140" i="21"/>
  <c r="D149" i="21"/>
  <c r="D116" i="21"/>
  <c r="D117" i="21"/>
  <c r="D144" i="21"/>
  <c r="D120" i="21"/>
  <c r="D83" i="21"/>
  <c r="D75" i="21"/>
  <c r="D123" i="21"/>
  <c r="D106" i="21"/>
  <c r="D96" i="21"/>
  <c r="D88" i="21"/>
  <c r="D100" i="21"/>
  <c r="D84" i="21"/>
  <c r="D145" i="21"/>
  <c r="D91" i="21"/>
  <c r="D134" i="21"/>
  <c r="D115" i="21"/>
  <c r="D108" i="21"/>
  <c r="D82" i="21"/>
  <c r="D157" i="21"/>
  <c r="D107" i="21"/>
  <c r="D154" i="21"/>
  <c r="D146" i="21"/>
  <c r="D94" i="21"/>
  <c r="D78" i="21"/>
  <c r="D127" i="21"/>
  <c r="D99" i="21"/>
  <c r="D129" i="21"/>
  <c r="D128" i="21"/>
  <c r="D125" i="21"/>
  <c r="D113" i="21"/>
  <c r="D90" i="21"/>
  <c r="D165" i="21"/>
  <c r="E165" i="21" s="1"/>
  <c r="D164" i="21"/>
  <c r="E164" i="21" s="1"/>
  <c r="D161" i="21"/>
  <c r="E161" i="21" s="1"/>
  <c r="D163" i="21"/>
  <c r="E163" i="21" s="1"/>
  <c r="D162" i="21"/>
  <c r="E162" i="21" s="1"/>
  <c r="D169" i="21"/>
  <c r="D170" i="21"/>
  <c r="E52" i="21"/>
  <c r="G52" i="21" s="1"/>
  <c r="D168" i="21"/>
  <c r="E168" i="21" s="1"/>
  <c r="C53" i="21"/>
  <c r="D167" i="21"/>
  <c r="E167" i="21" s="1"/>
  <c r="D166" i="21"/>
  <c r="E166" i="21" s="1"/>
  <c r="A54" i="21"/>
  <c r="A55" i="21" s="1"/>
  <c r="B25" i="16"/>
  <c r="I107" i="21" l="1"/>
  <c r="E107" i="21"/>
  <c r="G107" i="21" s="1"/>
  <c r="J107" i="21" s="1"/>
  <c r="K107" i="21" s="1"/>
  <c r="L84" i="21"/>
  <c r="N84" i="21" s="1"/>
  <c r="I84" i="21"/>
  <c r="E84" i="21"/>
  <c r="G84" i="21" s="1"/>
  <c r="I120" i="21"/>
  <c r="E120" i="21"/>
  <c r="G120" i="21" s="1"/>
  <c r="I109" i="21"/>
  <c r="E109" i="21"/>
  <c r="G109" i="21" s="1"/>
  <c r="J109" i="21" s="1"/>
  <c r="K109" i="21" s="1"/>
  <c r="L76" i="21"/>
  <c r="N76" i="21" s="1"/>
  <c r="I76" i="21"/>
  <c r="E76" i="21"/>
  <c r="G76" i="21" s="1"/>
  <c r="E110" i="21"/>
  <c r="G110" i="21" s="1"/>
  <c r="I110" i="21"/>
  <c r="E160" i="21"/>
  <c r="G160" i="21" s="1"/>
  <c r="I160" i="21"/>
  <c r="J160" i="21" s="1"/>
  <c r="K160" i="21" s="1"/>
  <c r="I81" i="21"/>
  <c r="E81" i="21"/>
  <c r="G81" i="21" s="1"/>
  <c r="J81" i="21" s="1"/>
  <c r="K81" i="21" s="1"/>
  <c r="E118" i="21"/>
  <c r="G118" i="21" s="1"/>
  <c r="I118" i="21"/>
  <c r="J118" i="21" s="1"/>
  <c r="K118" i="21" s="1"/>
  <c r="L138" i="21"/>
  <c r="I138" i="21"/>
  <c r="E138" i="21"/>
  <c r="G138" i="21" s="1"/>
  <c r="J138" i="21" s="1"/>
  <c r="K138" i="21" s="1"/>
  <c r="E85" i="21"/>
  <c r="G85" i="21" s="1"/>
  <c r="J85" i="21" s="1"/>
  <c r="K85" i="21" s="1"/>
  <c r="I85" i="21"/>
  <c r="L74" i="21"/>
  <c r="N74" i="21" s="1"/>
  <c r="I74" i="21"/>
  <c r="E74" i="21"/>
  <c r="G74" i="21" s="1"/>
  <c r="E119" i="21"/>
  <c r="I119" i="21"/>
  <c r="J119" i="21" s="1"/>
  <c r="K119" i="21" s="1"/>
  <c r="E147" i="21"/>
  <c r="G147" i="21" s="1"/>
  <c r="I147" i="21"/>
  <c r="J147" i="21" s="1"/>
  <c r="K147" i="21" s="1"/>
  <c r="I95" i="21"/>
  <c r="E95" i="21"/>
  <c r="G95" i="21" s="1"/>
  <c r="J95" i="21" s="1"/>
  <c r="K95" i="21" s="1"/>
  <c r="E155" i="21"/>
  <c r="G155" i="21" s="1"/>
  <c r="I155" i="21"/>
  <c r="J155" i="21" s="1"/>
  <c r="K155" i="21" s="1"/>
  <c r="L90" i="21"/>
  <c r="N90" i="21" s="1"/>
  <c r="I90" i="21"/>
  <c r="E90" i="21"/>
  <c r="G90" i="21" s="1"/>
  <c r="E129" i="21"/>
  <c r="G129" i="21" s="1"/>
  <c r="I129" i="21"/>
  <c r="I94" i="21"/>
  <c r="E94" i="21"/>
  <c r="G94" i="21" s="1"/>
  <c r="E157" i="21"/>
  <c r="G157" i="21" s="1"/>
  <c r="I157" i="21"/>
  <c r="J157" i="21" s="1"/>
  <c r="K157" i="21" s="1"/>
  <c r="L134" i="21"/>
  <c r="E134" i="21"/>
  <c r="G134" i="21" s="1"/>
  <c r="J134" i="21" s="1"/>
  <c r="K134" i="21" s="1"/>
  <c r="I134" i="21"/>
  <c r="L100" i="21"/>
  <c r="N100" i="21" s="1"/>
  <c r="I100" i="21"/>
  <c r="E100" i="21"/>
  <c r="G100" i="21" s="1"/>
  <c r="E123" i="21"/>
  <c r="G123" i="21" s="1"/>
  <c r="I123" i="21"/>
  <c r="J123" i="21" s="1"/>
  <c r="K123" i="21" s="1"/>
  <c r="E144" i="21"/>
  <c r="G144" i="21" s="1"/>
  <c r="I144" i="21"/>
  <c r="J144" i="21" s="1"/>
  <c r="K144" i="21" s="1"/>
  <c r="L140" i="21"/>
  <c r="I140" i="21"/>
  <c r="E140" i="21"/>
  <c r="G140" i="21" s="1"/>
  <c r="J140" i="21" s="1"/>
  <c r="K140" i="21" s="1"/>
  <c r="E152" i="21"/>
  <c r="I152" i="21"/>
  <c r="J152" i="21" s="1"/>
  <c r="K152" i="21" s="1"/>
  <c r="I86" i="21"/>
  <c r="E86" i="21"/>
  <c r="G86" i="21" s="1"/>
  <c r="J86" i="21" s="1"/>
  <c r="K86" i="21" s="1"/>
  <c r="E121" i="21"/>
  <c r="G121" i="21" s="1"/>
  <c r="I121" i="21"/>
  <c r="E124" i="21"/>
  <c r="G124" i="21" s="1"/>
  <c r="J124" i="21" s="1"/>
  <c r="K124" i="21" s="1"/>
  <c r="I124" i="21"/>
  <c r="E89" i="21"/>
  <c r="G89" i="21" s="1"/>
  <c r="J89" i="21" s="1"/>
  <c r="K89" i="21" s="1"/>
  <c r="I89" i="21"/>
  <c r="L142" i="21"/>
  <c r="E142" i="21"/>
  <c r="G142" i="21" s="1"/>
  <c r="I142" i="21"/>
  <c r="E133" i="21"/>
  <c r="G133" i="21" s="1"/>
  <c r="I133" i="21"/>
  <c r="J133" i="21" s="1"/>
  <c r="K133" i="21" s="1"/>
  <c r="E101" i="21"/>
  <c r="G101" i="21" s="1"/>
  <c r="J101" i="21" s="1"/>
  <c r="K101" i="21" s="1"/>
  <c r="I101" i="21"/>
  <c r="L80" i="21"/>
  <c r="N80" i="21" s="1"/>
  <c r="E80" i="21"/>
  <c r="G80" i="21" s="1"/>
  <c r="J80" i="21" s="1"/>
  <c r="K80" i="21" s="1"/>
  <c r="I80" i="21"/>
  <c r="L136" i="21"/>
  <c r="I136" i="21"/>
  <c r="E136" i="21"/>
  <c r="G136" i="21" s="1"/>
  <c r="J136" i="21" s="1"/>
  <c r="K136" i="21" s="1"/>
  <c r="L141" i="21"/>
  <c r="E141" i="21"/>
  <c r="G141" i="21" s="1"/>
  <c r="I141" i="21"/>
  <c r="E103" i="21"/>
  <c r="G103" i="21" s="1"/>
  <c r="J103" i="21" s="1"/>
  <c r="K103" i="21" s="1"/>
  <c r="I103" i="21"/>
  <c r="L137" i="21"/>
  <c r="E137" i="21"/>
  <c r="G137" i="21" s="1"/>
  <c r="I137" i="21"/>
  <c r="E128" i="21"/>
  <c r="G128" i="21" s="1"/>
  <c r="I128" i="21"/>
  <c r="I78" i="21"/>
  <c r="E78" i="21"/>
  <c r="G78" i="21" s="1"/>
  <c r="E115" i="21"/>
  <c r="G115" i="21" s="1"/>
  <c r="I115" i="21"/>
  <c r="J115" i="21" s="1"/>
  <c r="K115" i="21" s="1"/>
  <c r="L106" i="21"/>
  <c r="N106" i="21" s="1"/>
  <c r="I106" i="21"/>
  <c r="E106" i="21"/>
  <c r="G106" i="21" s="1"/>
  <c r="J106" i="21" s="1"/>
  <c r="K106" i="21" s="1"/>
  <c r="E149" i="21"/>
  <c r="G149" i="21" s="1"/>
  <c r="I149" i="21"/>
  <c r="E113" i="21"/>
  <c r="G113" i="21" s="1"/>
  <c r="I113" i="21"/>
  <c r="I99" i="21"/>
  <c r="E99" i="21"/>
  <c r="G99" i="21" s="1"/>
  <c r="J99" i="21" s="1"/>
  <c r="K99" i="21" s="1"/>
  <c r="E146" i="21"/>
  <c r="G146" i="21" s="1"/>
  <c r="I146" i="21"/>
  <c r="E82" i="21"/>
  <c r="G82" i="21" s="1"/>
  <c r="I82" i="21"/>
  <c r="E91" i="21"/>
  <c r="G91" i="21" s="1"/>
  <c r="J91" i="21" s="1"/>
  <c r="K91" i="21" s="1"/>
  <c r="I91" i="21"/>
  <c r="L88" i="21"/>
  <c r="N88" i="21" s="1"/>
  <c r="E88" i="21"/>
  <c r="G88" i="21" s="1"/>
  <c r="J88" i="21" s="1"/>
  <c r="K88" i="21" s="1"/>
  <c r="I88" i="21"/>
  <c r="I75" i="21"/>
  <c r="E75" i="21"/>
  <c r="G75" i="21" s="1"/>
  <c r="J75" i="21" s="1"/>
  <c r="K75" i="21" s="1"/>
  <c r="L117" i="21"/>
  <c r="N117" i="21" s="1"/>
  <c r="I117" i="21"/>
  <c r="E117" i="21"/>
  <c r="G117" i="21" s="1"/>
  <c r="J117" i="21" s="1"/>
  <c r="K117" i="21" s="1"/>
  <c r="I77" i="21"/>
  <c r="E77" i="21"/>
  <c r="G77" i="21" s="1"/>
  <c r="J77" i="21" s="1"/>
  <c r="K77" i="21" s="1"/>
  <c r="L131" i="21"/>
  <c r="N131" i="21" s="1"/>
  <c r="E131" i="21"/>
  <c r="G131" i="21" s="1"/>
  <c r="J131" i="21" s="1"/>
  <c r="K131" i="21" s="1"/>
  <c r="I131" i="21"/>
  <c r="E98" i="21"/>
  <c r="G98" i="21" s="1"/>
  <c r="I98" i="21"/>
  <c r="E126" i="21"/>
  <c r="G126" i="21" s="1"/>
  <c r="I126" i="21"/>
  <c r="E153" i="21"/>
  <c r="G153" i="21" s="1"/>
  <c r="I153" i="21"/>
  <c r="J153" i="21" s="1"/>
  <c r="K153" i="21" s="1"/>
  <c r="I97" i="21"/>
  <c r="E97" i="21"/>
  <c r="G97" i="21" s="1"/>
  <c r="J97" i="21" s="1"/>
  <c r="K97" i="21" s="1"/>
  <c r="E159" i="21"/>
  <c r="G159" i="21" s="1"/>
  <c r="I159" i="21"/>
  <c r="J159" i="21" s="1"/>
  <c r="K159" i="21" s="1"/>
  <c r="E112" i="21"/>
  <c r="G112" i="21" s="1"/>
  <c r="I112" i="21"/>
  <c r="E130" i="21"/>
  <c r="I130" i="21"/>
  <c r="J130" i="21" s="1"/>
  <c r="K130" i="21" s="1"/>
  <c r="L92" i="21"/>
  <c r="N92" i="21" s="1"/>
  <c r="I92" i="21"/>
  <c r="E92" i="21"/>
  <c r="G92" i="21" s="1"/>
  <c r="E156" i="21"/>
  <c r="G156" i="21" s="1"/>
  <c r="I156" i="21"/>
  <c r="J156" i="21" s="1"/>
  <c r="K156" i="21" s="1"/>
  <c r="I79" i="21"/>
  <c r="E79" i="21"/>
  <c r="G79" i="21" s="1"/>
  <c r="J79" i="21" s="1"/>
  <c r="K79" i="21" s="1"/>
  <c r="E111" i="21"/>
  <c r="G111" i="21" s="1"/>
  <c r="J111" i="21" s="1"/>
  <c r="K111" i="21" s="1"/>
  <c r="I111" i="21"/>
  <c r="E132" i="21"/>
  <c r="I132" i="21"/>
  <c r="J132" i="21" s="1"/>
  <c r="K132" i="21" s="1"/>
  <c r="L125" i="21"/>
  <c r="N125" i="21" s="1"/>
  <c r="I125" i="21"/>
  <c r="E125" i="21"/>
  <c r="G125" i="21" s="1"/>
  <c r="E127" i="21"/>
  <c r="I127" i="21"/>
  <c r="J127" i="21" s="1"/>
  <c r="K127" i="21" s="1"/>
  <c r="I154" i="21"/>
  <c r="E154" i="21"/>
  <c r="G154" i="21" s="1"/>
  <c r="L108" i="21"/>
  <c r="N108" i="21" s="1"/>
  <c r="I108" i="21"/>
  <c r="E108" i="21"/>
  <c r="G108" i="21" s="1"/>
  <c r="E145" i="21"/>
  <c r="G145" i="21" s="1"/>
  <c r="I145" i="21"/>
  <c r="L96" i="21"/>
  <c r="N96" i="21" s="1"/>
  <c r="I96" i="21"/>
  <c r="E96" i="21"/>
  <c r="G96" i="21" s="1"/>
  <c r="J96" i="21" s="1"/>
  <c r="K96" i="21" s="1"/>
  <c r="E83" i="21"/>
  <c r="G83" i="21" s="1"/>
  <c r="J83" i="21" s="1"/>
  <c r="K83" i="21" s="1"/>
  <c r="I83" i="21"/>
  <c r="E116" i="21"/>
  <c r="G116" i="21" s="1"/>
  <c r="J116" i="21" s="1"/>
  <c r="K116" i="21" s="1"/>
  <c r="I116" i="21"/>
  <c r="I93" i="21"/>
  <c r="E93" i="21"/>
  <c r="G93" i="21" s="1"/>
  <c r="J93" i="21" s="1"/>
  <c r="K93" i="21" s="1"/>
  <c r="E151" i="21"/>
  <c r="G151" i="21" s="1"/>
  <c r="I151" i="21"/>
  <c r="J151" i="21" s="1"/>
  <c r="K151" i="21" s="1"/>
  <c r="L104" i="21"/>
  <c r="N104" i="21" s="1"/>
  <c r="E104" i="21"/>
  <c r="G104" i="21" s="1"/>
  <c r="J104" i="21" s="1"/>
  <c r="K104" i="21" s="1"/>
  <c r="I104" i="21"/>
  <c r="L143" i="21"/>
  <c r="E143" i="21"/>
  <c r="I143" i="21"/>
  <c r="J143" i="21" s="1"/>
  <c r="K143" i="21" s="1"/>
  <c r="E148" i="21"/>
  <c r="I148" i="21"/>
  <c r="J148" i="21" s="1"/>
  <c r="K148" i="21" s="1"/>
  <c r="E105" i="21"/>
  <c r="G105" i="21" s="1"/>
  <c r="J105" i="21" s="1"/>
  <c r="K105" i="21" s="1"/>
  <c r="I105" i="21"/>
  <c r="E150" i="21"/>
  <c r="G150" i="21" s="1"/>
  <c r="J150" i="21" s="1"/>
  <c r="K150" i="21" s="1"/>
  <c r="I150" i="21"/>
  <c r="L135" i="21"/>
  <c r="I135" i="21"/>
  <c r="J135" i="21" s="1"/>
  <c r="K135" i="21" s="1"/>
  <c r="E135" i="21"/>
  <c r="E122" i="21"/>
  <c r="I122" i="21"/>
  <c r="J122" i="21" s="1"/>
  <c r="K122" i="21" s="1"/>
  <c r="E102" i="21"/>
  <c r="G102" i="21" s="1"/>
  <c r="I102" i="21"/>
  <c r="E114" i="21"/>
  <c r="I114" i="21"/>
  <c r="J114" i="21" s="1"/>
  <c r="K114" i="21" s="1"/>
  <c r="I87" i="21"/>
  <c r="E87" i="21"/>
  <c r="G87" i="21" s="1"/>
  <c r="J87" i="21" s="1"/>
  <c r="K87" i="21" s="1"/>
  <c r="I139" i="21"/>
  <c r="J139" i="21" s="1"/>
  <c r="K139" i="21" s="1"/>
  <c r="E139" i="21"/>
  <c r="I158" i="21"/>
  <c r="E158" i="21"/>
  <c r="G158" i="21" s="1"/>
  <c r="D53" i="21"/>
  <c r="E53" i="21" s="1"/>
  <c r="C54" i="21"/>
  <c r="A56" i="21"/>
  <c r="B50" i="7"/>
  <c r="B49" i="7"/>
  <c r="B48" i="7"/>
  <c r="H143" i="21" l="1"/>
  <c r="M143" i="21" s="1"/>
  <c r="N143" i="21"/>
  <c r="H136" i="21"/>
  <c r="M136" i="21" s="1"/>
  <c r="N136" i="21"/>
  <c r="H135" i="21"/>
  <c r="M135" i="21" s="1"/>
  <c r="N135" i="21"/>
  <c r="H140" i="21"/>
  <c r="M140" i="21" s="1"/>
  <c r="N140" i="21"/>
  <c r="H137" i="21"/>
  <c r="M137" i="21" s="1"/>
  <c r="N137" i="21"/>
  <c r="H141" i="21"/>
  <c r="M141" i="21" s="1"/>
  <c r="N141" i="21"/>
  <c r="H134" i="21"/>
  <c r="M134" i="21" s="1"/>
  <c r="N134" i="21"/>
  <c r="H142" i="21"/>
  <c r="M142" i="21" s="1"/>
  <c r="N142" i="21"/>
  <c r="H138" i="21"/>
  <c r="M138" i="21" s="1"/>
  <c r="N138" i="21"/>
  <c r="C55" i="21"/>
  <c r="D54" i="21"/>
  <c r="E54" i="21" s="1"/>
  <c r="G53" i="21"/>
  <c r="A57" i="21"/>
  <c r="D85" i="4" l="1"/>
  <c r="D81" i="4"/>
  <c r="D55" i="21"/>
  <c r="E55" i="21" s="1"/>
  <c r="C56" i="21"/>
  <c r="G54" i="21"/>
  <c r="A58" i="21"/>
  <c r="D27" i="8"/>
  <c r="D30" i="8" s="1"/>
  <c r="C57" i="21" l="1"/>
  <c r="D56" i="21"/>
  <c r="E56" i="21" s="1"/>
  <c r="G56" i="21" s="1"/>
  <c r="G55" i="21"/>
  <c r="A59" i="21"/>
  <c r="B52" i="7"/>
  <c r="B53" i="7" s="1"/>
  <c r="D59" i="7" s="1"/>
  <c r="C26" i="5"/>
  <c r="D26" i="5" s="1"/>
  <c r="F24" i="5"/>
  <c r="F23" i="5"/>
  <c r="C20" i="5"/>
  <c r="C21" i="5"/>
  <c r="G90" i="4"/>
  <c r="B72" i="3"/>
  <c r="D67" i="4"/>
  <c r="F100" i="4" s="1"/>
  <c r="C207" i="3"/>
  <c r="B24" i="7"/>
  <c r="E125" i="3"/>
  <c r="C103" i="4" l="1"/>
  <c r="B111" i="4"/>
  <c r="M132" i="4"/>
  <c r="M128" i="4"/>
  <c r="M124" i="4"/>
  <c r="M120" i="4"/>
  <c r="M116" i="4"/>
  <c r="M131" i="4"/>
  <c r="M127" i="4"/>
  <c r="M123" i="4"/>
  <c r="M119" i="4"/>
  <c r="M115" i="4"/>
  <c r="M130" i="4"/>
  <c r="M126" i="4"/>
  <c r="M122" i="4"/>
  <c r="M118" i="4"/>
  <c r="M114" i="4"/>
  <c r="M129" i="4"/>
  <c r="M125" i="4"/>
  <c r="M121" i="4"/>
  <c r="M117" i="4"/>
  <c r="D57" i="21"/>
  <c r="E57" i="21" s="1"/>
  <c r="G57" i="21" s="1"/>
  <c r="C58" i="21"/>
  <c r="K47" i="21"/>
  <c r="H55" i="12"/>
  <c r="A60" i="21"/>
  <c r="B31" i="7"/>
  <c r="F28" i="7"/>
  <c r="N100" i="5"/>
  <c r="I100" i="5"/>
  <c r="D100" i="5"/>
  <c r="D58" i="21" l="1"/>
  <c r="E58" i="21" s="1"/>
  <c r="G58" i="21" s="1"/>
  <c r="C59" i="21"/>
  <c r="M113" i="5"/>
  <c r="F107" i="19" s="1"/>
  <c r="E131" i="12" s="1"/>
  <c r="M115" i="5"/>
  <c r="F109" i="19" s="1"/>
  <c r="E133" i="12" s="1"/>
  <c r="M117" i="5"/>
  <c r="F111" i="19" s="1"/>
  <c r="E135" i="12" s="1"/>
  <c r="M119" i="5"/>
  <c r="F113" i="19" s="1"/>
  <c r="E137" i="12" s="1"/>
  <c r="M121" i="5"/>
  <c r="F115" i="19" s="1"/>
  <c r="E139" i="12" s="1"/>
  <c r="M123" i="5"/>
  <c r="F117" i="19" s="1"/>
  <c r="E141" i="12" s="1"/>
  <c r="M125" i="5"/>
  <c r="F119" i="19" s="1"/>
  <c r="E143" i="12" s="1"/>
  <c r="M127" i="5"/>
  <c r="F121" i="19" s="1"/>
  <c r="E145" i="12" s="1"/>
  <c r="M129" i="5"/>
  <c r="F123" i="19" s="1"/>
  <c r="E147" i="12" s="1"/>
  <c r="K79" i="5"/>
  <c r="C132" i="12" s="1"/>
  <c r="K81" i="5"/>
  <c r="C134" i="12" s="1"/>
  <c r="K83" i="5"/>
  <c r="C136" i="12" s="1"/>
  <c r="K85" i="5"/>
  <c r="C138" i="12" s="1"/>
  <c r="K87" i="5"/>
  <c r="C140" i="12" s="1"/>
  <c r="K89" i="5"/>
  <c r="C142" i="12" s="1"/>
  <c r="K91" i="5"/>
  <c r="C144" i="12" s="1"/>
  <c r="K93" i="5"/>
  <c r="C146" i="12" s="1"/>
  <c r="K95" i="5"/>
  <c r="C148" i="12" s="1"/>
  <c r="P58" i="8"/>
  <c r="P60" i="8"/>
  <c r="P62" i="8"/>
  <c r="P64" i="8"/>
  <c r="P66" i="8"/>
  <c r="P68" i="8"/>
  <c r="P70" i="8"/>
  <c r="P72" i="8"/>
  <c r="P74" i="8"/>
  <c r="M41" i="5"/>
  <c r="N41" i="5" s="1"/>
  <c r="D131" i="12" s="1"/>
  <c r="M42" i="5"/>
  <c r="N42" i="5" s="1"/>
  <c r="D132" i="12" s="1"/>
  <c r="M45" i="5"/>
  <c r="N45" i="5" s="1"/>
  <c r="D135" i="12" s="1"/>
  <c r="M46" i="5"/>
  <c r="N46" i="5" s="1"/>
  <c r="D136" i="12" s="1"/>
  <c r="M49" i="5"/>
  <c r="N49" i="5" s="1"/>
  <c r="D139" i="12" s="1"/>
  <c r="M50" i="5"/>
  <c r="N50" i="5" s="1"/>
  <c r="D140" i="12" s="1"/>
  <c r="M53" i="5"/>
  <c r="N53" i="5" s="1"/>
  <c r="D143" i="12" s="1"/>
  <c r="M54" i="5"/>
  <c r="N54" i="5" s="1"/>
  <c r="D144" i="12" s="1"/>
  <c r="M57" i="5"/>
  <c r="N57" i="5" s="1"/>
  <c r="D147" i="12" s="1"/>
  <c r="M58" i="5"/>
  <c r="N58" i="5" s="1"/>
  <c r="D148" i="12" s="1"/>
  <c r="M114" i="5"/>
  <c r="F108" i="19" s="1"/>
  <c r="E132" i="12" s="1"/>
  <c r="M118" i="5"/>
  <c r="F112" i="19" s="1"/>
  <c r="E136" i="12" s="1"/>
  <c r="M122" i="5"/>
  <c r="F116" i="19" s="1"/>
  <c r="E140" i="12" s="1"/>
  <c r="M126" i="5"/>
  <c r="F120" i="19" s="1"/>
  <c r="E144" i="12" s="1"/>
  <c r="M130" i="5"/>
  <c r="F124" i="19" s="1"/>
  <c r="E148" i="12" s="1"/>
  <c r="K78" i="5"/>
  <c r="C131" i="12" s="1"/>
  <c r="K82" i="5"/>
  <c r="C135" i="12" s="1"/>
  <c r="K86" i="5"/>
  <c r="C139" i="12" s="1"/>
  <c r="K90" i="5"/>
  <c r="C143" i="12" s="1"/>
  <c r="K94" i="5"/>
  <c r="C147" i="12" s="1"/>
  <c r="P59" i="8"/>
  <c r="P63" i="8"/>
  <c r="P67" i="8"/>
  <c r="P71" i="8"/>
  <c r="M44" i="5"/>
  <c r="N44" i="5" s="1"/>
  <c r="D134" i="12" s="1"/>
  <c r="M47" i="5"/>
  <c r="N47" i="5" s="1"/>
  <c r="D137" i="12" s="1"/>
  <c r="M52" i="5"/>
  <c r="N52" i="5" s="1"/>
  <c r="D142" i="12" s="1"/>
  <c r="M55" i="5"/>
  <c r="N55" i="5" s="1"/>
  <c r="D145" i="12" s="1"/>
  <c r="L104" i="4"/>
  <c r="L30" i="5" s="1"/>
  <c r="E96" i="19" s="1"/>
  <c r="B120" i="12" s="1"/>
  <c r="I120" i="12" s="1"/>
  <c r="L106" i="4"/>
  <c r="L32" i="5" s="1"/>
  <c r="E98" i="19" s="1"/>
  <c r="B122" i="12" s="1"/>
  <c r="I122" i="12" s="1"/>
  <c r="L108" i="4"/>
  <c r="L34" i="5" s="1"/>
  <c r="E100" i="19" s="1"/>
  <c r="B124" i="12" s="1"/>
  <c r="I124" i="12" s="1"/>
  <c r="L110" i="4"/>
  <c r="L36" i="5" s="1"/>
  <c r="E102" i="19" s="1"/>
  <c r="B126" i="12" s="1"/>
  <c r="I126" i="12" s="1"/>
  <c r="L112" i="4"/>
  <c r="L38" i="5" s="1"/>
  <c r="E104" i="19" s="1"/>
  <c r="B128" i="12" s="1"/>
  <c r="I128" i="12" s="1"/>
  <c r="L114" i="4"/>
  <c r="L40" i="5" s="1"/>
  <c r="E106" i="19" s="1"/>
  <c r="B130" i="12" s="1"/>
  <c r="I130" i="12" s="1"/>
  <c r="L116" i="4"/>
  <c r="L42" i="5" s="1"/>
  <c r="E108" i="19" s="1"/>
  <c r="B132" i="12" s="1"/>
  <c r="I132" i="12" s="1"/>
  <c r="N116" i="4"/>
  <c r="L118" i="4"/>
  <c r="L44" i="5" s="1"/>
  <c r="E110" i="19" s="1"/>
  <c r="B134" i="12" s="1"/>
  <c r="I134" i="12" s="1"/>
  <c r="N118" i="4"/>
  <c r="L120" i="4"/>
  <c r="L46" i="5" s="1"/>
  <c r="E112" i="19" s="1"/>
  <c r="B136" i="12" s="1"/>
  <c r="I136" i="12" s="1"/>
  <c r="N120" i="4"/>
  <c r="L122" i="4"/>
  <c r="L48" i="5" s="1"/>
  <c r="E114" i="19" s="1"/>
  <c r="B138" i="12" s="1"/>
  <c r="I138" i="12" s="1"/>
  <c r="N122" i="4"/>
  <c r="L124" i="4"/>
  <c r="L50" i="5" s="1"/>
  <c r="E116" i="19" s="1"/>
  <c r="B140" i="12" s="1"/>
  <c r="I140" i="12" s="1"/>
  <c r="N124" i="4"/>
  <c r="L126" i="4"/>
  <c r="L52" i="5" s="1"/>
  <c r="E118" i="19" s="1"/>
  <c r="B142" i="12" s="1"/>
  <c r="I142" i="12" s="1"/>
  <c r="N126" i="4"/>
  <c r="L128" i="4"/>
  <c r="L54" i="5" s="1"/>
  <c r="E120" i="19" s="1"/>
  <c r="B144" i="12" s="1"/>
  <c r="I144" i="12" s="1"/>
  <c r="N128" i="4"/>
  <c r="L130" i="4"/>
  <c r="L56" i="5" s="1"/>
  <c r="E122" i="19" s="1"/>
  <c r="B146" i="12" s="1"/>
  <c r="I146" i="12" s="1"/>
  <c r="N130" i="4"/>
  <c r="L132" i="4"/>
  <c r="L58" i="5" s="1"/>
  <c r="E124" i="19" s="1"/>
  <c r="B148" i="12" s="1"/>
  <c r="I148" i="12" s="1"/>
  <c r="N132" i="4"/>
  <c r="G104" i="4"/>
  <c r="G30" i="5" s="1"/>
  <c r="E66" i="19" s="1"/>
  <c r="B90" i="12" s="1"/>
  <c r="I90" i="12" s="1"/>
  <c r="G106" i="4"/>
  <c r="G32" i="5" s="1"/>
  <c r="E68" i="19" s="1"/>
  <c r="B92" i="12" s="1"/>
  <c r="I92" i="12" s="1"/>
  <c r="G108" i="4"/>
  <c r="G34" i="5" s="1"/>
  <c r="E70" i="19" s="1"/>
  <c r="B94" i="12" s="1"/>
  <c r="I94" i="12" s="1"/>
  <c r="G110" i="4"/>
  <c r="G36" i="5" s="1"/>
  <c r="E72" i="19" s="1"/>
  <c r="B96" i="12" s="1"/>
  <c r="I96" i="12" s="1"/>
  <c r="G112" i="4"/>
  <c r="G38" i="5" s="1"/>
  <c r="E74" i="19" s="1"/>
  <c r="B98" i="12" s="1"/>
  <c r="I98" i="12" s="1"/>
  <c r="G114" i="4"/>
  <c r="G40" i="5" s="1"/>
  <c r="E76" i="19" s="1"/>
  <c r="B100" i="12" s="1"/>
  <c r="I100" i="12" s="1"/>
  <c r="G116" i="4"/>
  <c r="G42" i="5" s="1"/>
  <c r="E78" i="19" s="1"/>
  <c r="B102" i="12" s="1"/>
  <c r="I102" i="12" s="1"/>
  <c r="G118" i="4"/>
  <c r="G44" i="5" s="1"/>
  <c r="E80" i="19" s="1"/>
  <c r="B104" i="12" s="1"/>
  <c r="I104" i="12" s="1"/>
  <c r="G120" i="4"/>
  <c r="G46" i="5" s="1"/>
  <c r="E82" i="19" s="1"/>
  <c r="B106" i="12" s="1"/>
  <c r="I106" i="12" s="1"/>
  <c r="G122" i="4"/>
  <c r="G48" i="5" s="1"/>
  <c r="E84" i="19" s="1"/>
  <c r="B108" i="12" s="1"/>
  <c r="I108" i="12" s="1"/>
  <c r="G124" i="4"/>
  <c r="G50" i="5" s="1"/>
  <c r="E86" i="19" s="1"/>
  <c r="B110" i="12" s="1"/>
  <c r="I110" i="12" s="1"/>
  <c r="G126" i="4"/>
  <c r="G52" i="5" s="1"/>
  <c r="E88" i="19" s="1"/>
  <c r="B112" i="12" s="1"/>
  <c r="I112" i="12" s="1"/>
  <c r="G128" i="4"/>
  <c r="G54" i="5" s="1"/>
  <c r="E90" i="19" s="1"/>
  <c r="B114" i="12" s="1"/>
  <c r="I114" i="12" s="1"/>
  <c r="G130" i="4"/>
  <c r="G56" i="5" s="1"/>
  <c r="E92" i="19" s="1"/>
  <c r="B116" i="12" s="1"/>
  <c r="I116" i="12" s="1"/>
  <c r="G132" i="4"/>
  <c r="G58" i="5" s="1"/>
  <c r="E94" i="19" s="1"/>
  <c r="B118" i="12" s="1"/>
  <c r="I118" i="12" s="1"/>
  <c r="B114" i="4"/>
  <c r="B40" i="5" s="1"/>
  <c r="E46" i="19" s="1"/>
  <c r="B70" i="12" s="1"/>
  <c r="I70" i="12" s="1"/>
  <c r="B116" i="4"/>
  <c r="B42" i="5" s="1"/>
  <c r="E48" i="19" s="1"/>
  <c r="B72" i="12" s="1"/>
  <c r="I72" i="12" s="1"/>
  <c r="B118" i="4"/>
  <c r="B44" i="5" s="1"/>
  <c r="E50" i="19" s="1"/>
  <c r="B74" i="12" s="1"/>
  <c r="I74" i="12" s="1"/>
  <c r="B120" i="4"/>
  <c r="B46" i="5" s="1"/>
  <c r="E52" i="19" s="1"/>
  <c r="B76" i="12" s="1"/>
  <c r="I76" i="12" s="1"/>
  <c r="B122" i="4"/>
  <c r="B48" i="5" s="1"/>
  <c r="E54" i="19" s="1"/>
  <c r="B78" i="12" s="1"/>
  <c r="I78" i="12" s="1"/>
  <c r="B124" i="4"/>
  <c r="B50" i="5" s="1"/>
  <c r="E56" i="19" s="1"/>
  <c r="B80" i="12" s="1"/>
  <c r="I80" i="12" s="1"/>
  <c r="B126" i="4"/>
  <c r="B52" i="5" s="1"/>
  <c r="E58" i="19" s="1"/>
  <c r="B82" i="12" s="1"/>
  <c r="I82" i="12" s="1"/>
  <c r="B128" i="4"/>
  <c r="B54" i="5" s="1"/>
  <c r="E60" i="19" s="1"/>
  <c r="B84" i="12" s="1"/>
  <c r="I84" i="12" s="1"/>
  <c r="B130" i="4"/>
  <c r="B56" i="5" s="1"/>
  <c r="E62" i="19" s="1"/>
  <c r="B86" i="12" s="1"/>
  <c r="I86" i="12" s="1"/>
  <c r="B132" i="4"/>
  <c r="B58" i="5" s="1"/>
  <c r="E64" i="19" s="1"/>
  <c r="B88" i="12" s="1"/>
  <c r="I88" i="12" s="1"/>
  <c r="B113" i="4"/>
  <c r="B39" i="5" s="1"/>
  <c r="E45" i="19" s="1"/>
  <c r="B69" i="12" s="1"/>
  <c r="I69" i="12" s="1"/>
  <c r="B103" i="4"/>
  <c r="M116" i="5"/>
  <c r="F110" i="19" s="1"/>
  <c r="E134" i="12" s="1"/>
  <c r="M120" i="5"/>
  <c r="F114" i="19" s="1"/>
  <c r="E138" i="12" s="1"/>
  <c r="M124" i="5"/>
  <c r="F118" i="19" s="1"/>
  <c r="E142" i="12" s="1"/>
  <c r="M128" i="5"/>
  <c r="F122" i="19" s="1"/>
  <c r="E146" i="12" s="1"/>
  <c r="K80" i="5"/>
  <c r="C133" i="12" s="1"/>
  <c r="K84" i="5"/>
  <c r="C137" i="12" s="1"/>
  <c r="K88" i="5"/>
  <c r="C141" i="12" s="1"/>
  <c r="K92" i="5"/>
  <c r="C145" i="12" s="1"/>
  <c r="P57" i="8"/>
  <c r="P61" i="8"/>
  <c r="P65" i="8"/>
  <c r="P69" i="8"/>
  <c r="P73" i="8"/>
  <c r="M43" i="5"/>
  <c r="N43" i="5" s="1"/>
  <c r="D133" i="12" s="1"/>
  <c r="M48" i="5"/>
  <c r="N48" i="5" s="1"/>
  <c r="D138" i="12" s="1"/>
  <c r="M51" i="5"/>
  <c r="N51" i="5" s="1"/>
  <c r="D141" i="12" s="1"/>
  <c r="M56" i="5"/>
  <c r="N56" i="5" s="1"/>
  <c r="D146" i="12" s="1"/>
  <c r="L105" i="4"/>
  <c r="L31" i="5" s="1"/>
  <c r="E97" i="19" s="1"/>
  <c r="B121" i="12" s="1"/>
  <c r="I121" i="12" s="1"/>
  <c r="L107" i="4"/>
  <c r="L33" i="5" s="1"/>
  <c r="E99" i="19" s="1"/>
  <c r="B123" i="12" s="1"/>
  <c r="I123" i="12" s="1"/>
  <c r="L109" i="4"/>
  <c r="L35" i="5" s="1"/>
  <c r="E101" i="19" s="1"/>
  <c r="B125" i="12" s="1"/>
  <c r="I125" i="12" s="1"/>
  <c r="L111" i="4"/>
  <c r="L37" i="5" s="1"/>
  <c r="E103" i="19" s="1"/>
  <c r="B127" i="12" s="1"/>
  <c r="I127" i="12" s="1"/>
  <c r="L113" i="4"/>
  <c r="L39" i="5" s="1"/>
  <c r="E105" i="19" s="1"/>
  <c r="B129" i="12" s="1"/>
  <c r="I129" i="12" s="1"/>
  <c r="L115" i="4"/>
  <c r="L41" i="5" s="1"/>
  <c r="E107" i="19" s="1"/>
  <c r="B131" i="12" s="1"/>
  <c r="I131" i="12" s="1"/>
  <c r="N115" i="4"/>
  <c r="L117" i="4"/>
  <c r="L43" i="5" s="1"/>
  <c r="E109" i="19" s="1"/>
  <c r="B133" i="12" s="1"/>
  <c r="I133" i="12" s="1"/>
  <c r="N117" i="4"/>
  <c r="L119" i="4"/>
  <c r="L45" i="5" s="1"/>
  <c r="E111" i="19" s="1"/>
  <c r="B135" i="12" s="1"/>
  <c r="I135" i="12" s="1"/>
  <c r="N119" i="4"/>
  <c r="L121" i="4"/>
  <c r="L47" i="5" s="1"/>
  <c r="E113" i="19" s="1"/>
  <c r="B137" i="12" s="1"/>
  <c r="I137" i="12" s="1"/>
  <c r="N121" i="4"/>
  <c r="L123" i="4"/>
  <c r="L49" i="5" s="1"/>
  <c r="E115" i="19" s="1"/>
  <c r="B139" i="12" s="1"/>
  <c r="I139" i="12" s="1"/>
  <c r="N123" i="4"/>
  <c r="L125" i="4"/>
  <c r="L51" i="5" s="1"/>
  <c r="E117" i="19" s="1"/>
  <c r="B141" i="12" s="1"/>
  <c r="I141" i="12" s="1"/>
  <c r="N125" i="4"/>
  <c r="L127" i="4"/>
  <c r="L53" i="5" s="1"/>
  <c r="E119" i="19" s="1"/>
  <c r="B143" i="12" s="1"/>
  <c r="I143" i="12" s="1"/>
  <c r="N127" i="4"/>
  <c r="L129" i="4"/>
  <c r="L55" i="5" s="1"/>
  <c r="E121" i="19" s="1"/>
  <c r="B145" i="12" s="1"/>
  <c r="I145" i="12" s="1"/>
  <c r="N129" i="4"/>
  <c r="L131" i="4"/>
  <c r="L57" i="5" s="1"/>
  <c r="E123" i="19" s="1"/>
  <c r="B147" i="12" s="1"/>
  <c r="I147" i="12" s="1"/>
  <c r="N131" i="4"/>
  <c r="L103" i="4"/>
  <c r="G105" i="4"/>
  <c r="G31" i="5" s="1"/>
  <c r="E67" i="19" s="1"/>
  <c r="B91" i="12" s="1"/>
  <c r="I91" i="12" s="1"/>
  <c r="G107" i="4"/>
  <c r="G33" i="5" s="1"/>
  <c r="E69" i="19" s="1"/>
  <c r="B93" i="12" s="1"/>
  <c r="I93" i="12" s="1"/>
  <c r="G109" i="4"/>
  <c r="G111" i="4"/>
  <c r="G113" i="4"/>
  <c r="G115" i="4"/>
  <c r="G41" i="5" s="1"/>
  <c r="G117" i="4"/>
  <c r="G43" i="5" s="1"/>
  <c r="G119" i="4"/>
  <c r="G45" i="5" s="1"/>
  <c r="G121" i="4"/>
  <c r="G47" i="5" s="1"/>
  <c r="G123" i="4"/>
  <c r="G49" i="5" s="1"/>
  <c r="G125" i="4"/>
  <c r="G51" i="5" s="1"/>
  <c r="G127" i="4"/>
  <c r="G53" i="5" s="1"/>
  <c r="G129" i="4"/>
  <c r="G55" i="5" s="1"/>
  <c r="G131" i="4"/>
  <c r="G57" i="5" s="1"/>
  <c r="E93" i="19" s="1"/>
  <c r="B117" i="12" s="1"/>
  <c r="I117" i="12" s="1"/>
  <c r="G103" i="4"/>
  <c r="B115" i="4"/>
  <c r="B41" i="5" s="1"/>
  <c r="E47" i="19" s="1"/>
  <c r="B71" i="12" s="1"/>
  <c r="I71" i="12" s="1"/>
  <c r="B119" i="4"/>
  <c r="B45" i="5" s="1"/>
  <c r="E51" i="19" s="1"/>
  <c r="B75" i="12" s="1"/>
  <c r="I75" i="12" s="1"/>
  <c r="B123" i="4"/>
  <c r="B49" i="5" s="1"/>
  <c r="E55" i="19" s="1"/>
  <c r="B79" i="12" s="1"/>
  <c r="I79" i="12" s="1"/>
  <c r="B127" i="4"/>
  <c r="B53" i="5" s="1"/>
  <c r="E59" i="19" s="1"/>
  <c r="B83" i="12" s="1"/>
  <c r="I83" i="12" s="1"/>
  <c r="B131" i="4"/>
  <c r="B57" i="5" s="1"/>
  <c r="E63" i="19" s="1"/>
  <c r="B87" i="12" s="1"/>
  <c r="I87" i="12" s="1"/>
  <c r="B105" i="4"/>
  <c r="B107" i="4"/>
  <c r="B109" i="4"/>
  <c r="B37" i="5"/>
  <c r="E43" i="19" s="1"/>
  <c r="B67" i="12" s="1"/>
  <c r="I67" i="12" s="1"/>
  <c r="B117" i="4"/>
  <c r="B43" i="5" s="1"/>
  <c r="E49" i="19" s="1"/>
  <c r="B73" i="12" s="1"/>
  <c r="I73" i="12" s="1"/>
  <c r="B121" i="4"/>
  <c r="B47" i="5" s="1"/>
  <c r="E53" i="19" s="1"/>
  <c r="B77" i="12" s="1"/>
  <c r="I77" i="12" s="1"/>
  <c r="B125" i="4"/>
  <c r="B51" i="5" s="1"/>
  <c r="E57" i="19" s="1"/>
  <c r="B81" i="12" s="1"/>
  <c r="I81" i="12" s="1"/>
  <c r="B129" i="4"/>
  <c r="B55" i="5" s="1"/>
  <c r="E61" i="19" s="1"/>
  <c r="B85" i="12" s="1"/>
  <c r="I85" i="12" s="1"/>
  <c r="B104" i="4"/>
  <c r="B106" i="4"/>
  <c r="B108" i="4"/>
  <c r="B110" i="4"/>
  <c r="B112" i="4"/>
  <c r="A61" i="21"/>
  <c r="C25" i="5"/>
  <c r="D75" i="4"/>
  <c r="B23" i="7"/>
  <c r="F26" i="7"/>
  <c r="M40" i="5" l="1"/>
  <c r="N40" i="5" s="1"/>
  <c r="D130" i="12" s="1"/>
  <c r="M32" i="5"/>
  <c r="N32" i="5" s="1"/>
  <c r="D122" i="12" s="1"/>
  <c r="N114" i="4"/>
  <c r="N112" i="5" s="1"/>
  <c r="F130" i="12" s="1"/>
  <c r="M35" i="5"/>
  <c r="N35" i="5" s="1"/>
  <c r="N51" i="8" s="1"/>
  <c r="M39" i="5"/>
  <c r="N39" i="5" s="1"/>
  <c r="N55" i="8" s="1"/>
  <c r="M31" i="5"/>
  <c r="N31" i="5" s="1"/>
  <c r="N47" i="8" s="1"/>
  <c r="M37" i="5"/>
  <c r="N37" i="5" s="1"/>
  <c r="N53" i="8" s="1"/>
  <c r="M33" i="5"/>
  <c r="N33" i="5" s="1"/>
  <c r="N49" i="8" s="1"/>
  <c r="M108" i="4"/>
  <c r="H106" i="4"/>
  <c r="H32" i="5" s="1"/>
  <c r="I32" i="5" s="1"/>
  <c r="H114" i="4"/>
  <c r="H40" i="5" s="1"/>
  <c r="I40" i="5" s="1"/>
  <c r="H56" i="8" s="1"/>
  <c r="H122" i="4"/>
  <c r="H130" i="4"/>
  <c r="C117" i="4"/>
  <c r="C125" i="4"/>
  <c r="M107" i="4"/>
  <c r="H107" i="4"/>
  <c r="H115" i="4"/>
  <c r="H41" i="5" s="1"/>
  <c r="I41" i="5" s="1"/>
  <c r="H123" i="4"/>
  <c r="H49" i="5" s="1"/>
  <c r="I49" i="5" s="1"/>
  <c r="H65" i="8" s="1"/>
  <c r="H131" i="4"/>
  <c r="C118" i="4"/>
  <c r="C126" i="4"/>
  <c r="M106" i="4"/>
  <c r="N106" i="4" s="1"/>
  <c r="N104" i="5" s="1"/>
  <c r="F122" i="12" s="1"/>
  <c r="H108" i="4"/>
  <c r="H34" i="5" s="1"/>
  <c r="I34" i="5" s="1"/>
  <c r="D94" i="12" s="1"/>
  <c r="H116" i="4"/>
  <c r="H42" i="5" s="1"/>
  <c r="I42" i="5" s="1"/>
  <c r="D102" i="12" s="1"/>
  <c r="H132" i="4"/>
  <c r="C127" i="4"/>
  <c r="M113" i="4"/>
  <c r="N113" i="4" s="1"/>
  <c r="N111" i="5" s="1"/>
  <c r="F129" i="12" s="1"/>
  <c r="H109" i="4"/>
  <c r="H125" i="4"/>
  <c r="C120" i="4"/>
  <c r="M112" i="4"/>
  <c r="N112" i="4" s="1"/>
  <c r="N110" i="5" s="1"/>
  <c r="F128" i="12" s="1"/>
  <c r="M104" i="4"/>
  <c r="H110" i="4"/>
  <c r="H118" i="4"/>
  <c r="H44" i="5" s="1"/>
  <c r="I44" i="5" s="1"/>
  <c r="H60" i="8" s="1"/>
  <c r="H126" i="4"/>
  <c r="H52" i="5" s="1"/>
  <c r="I52" i="5" s="1"/>
  <c r="H68" i="8" s="1"/>
  <c r="C113" i="4"/>
  <c r="C121" i="4"/>
  <c r="C129" i="4"/>
  <c r="M111" i="4"/>
  <c r="N111" i="4" s="1"/>
  <c r="N109" i="5" s="1"/>
  <c r="F127" i="12" s="1"/>
  <c r="M103" i="4"/>
  <c r="H111" i="4"/>
  <c r="H119" i="4"/>
  <c r="H45" i="5" s="1"/>
  <c r="I45" i="5" s="1"/>
  <c r="H127" i="4"/>
  <c r="C114" i="4"/>
  <c r="C122" i="4"/>
  <c r="C130" i="4"/>
  <c r="M110" i="4"/>
  <c r="H104" i="4"/>
  <c r="H112" i="4"/>
  <c r="H38" i="5" s="1"/>
  <c r="I38" i="5" s="1"/>
  <c r="D98" i="12" s="1"/>
  <c r="H120" i="4"/>
  <c r="H46" i="5" s="1"/>
  <c r="I46" i="5" s="1"/>
  <c r="D106" i="12" s="1"/>
  <c r="H128" i="4"/>
  <c r="H54" i="5" s="1"/>
  <c r="I54" i="5" s="1"/>
  <c r="D114" i="12" s="1"/>
  <c r="C115" i="4"/>
  <c r="C123" i="4"/>
  <c r="C131" i="4"/>
  <c r="M109" i="4"/>
  <c r="H105" i="4"/>
  <c r="H113" i="4"/>
  <c r="H121" i="4"/>
  <c r="H47" i="5" s="1"/>
  <c r="I47" i="5" s="1"/>
  <c r="H129" i="4"/>
  <c r="H55" i="5" s="1"/>
  <c r="I55" i="5" s="1"/>
  <c r="H71" i="8" s="1"/>
  <c r="C116" i="4"/>
  <c r="C124" i="4"/>
  <c r="C132" i="4"/>
  <c r="H124" i="4"/>
  <c r="H50" i="5" s="1"/>
  <c r="I50" i="5" s="1"/>
  <c r="D110" i="12" s="1"/>
  <c r="C119" i="4"/>
  <c r="M105" i="4"/>
  <c r="H117" i="4"/>
  <c r="H103" i="4"/>
  <c r="C128" i="4"/>
  <c r="N105" i="4"/>
  <c r="N103" i="5" s="1"/>
  <c r="F121" i="12" s="1"/>
  <c r="N104" i="4"/>
  <c r="M36" i="5"/>
  <c r="N36" i="5" s="1"/>
  <c r="N52" i="8" s="1"/>
  <c r="M38" i="5"/>
  <c r="N38" i="5" s="1"/>
  <c r="N54" i="8" s="1"/>
  <c r="M34" i="5"/>
  <c r="N34" i="5" s="1"/>
  <c r="M30" i="5"/>
  <c r="N30" i="5" s="1"/>
  <c r="N46" i="8" s="1"/>
  <c r="G39" i="5"/>
  <c r="G35" i="5"/>
  <c r="B38" i="5"/>
  <c r="E44" i="19" s="1"/>
  <c r="B68" i="12" s="1"/>
  <c r="I68" i="12" s="1"/>
  <c r="B34" i="5"/>
  <c r="E40" i="19" s="1"/>
  <c r="B64" i="12" s="1"/>
  <c r="I64" i="12" s="1"/>
  <c r="B30" i="5"/>
  <c r="E36" i="19" s="1"/>
  <c r="B60" i="12" s="1"/>
  <c r="I60" i="12" s="1"/>
  <c r="B33" i="5"/>
  <c r="E39" i="19" s="1"/>
  <c r="B63" i="12" s="1"/>
  <c r="I63" i="12" s="1"/>
  <c r="B36" i="5"/>
  <c r="E42" i="19" s="1"/>
  <c r="B66" i="12" s="1"/>
  <c r="I66" i="12" s="1"/>
  <c r="B32" i="5"/>
  <c r="E38" i="19" s="1"/>
  <c r="B62" i="12" s="1"/>
  <c r="I62" i="12" s="1"/>
  <c r="B35" i="5"/>
  <c r="E41" i="19" s="1"/>
  <c r="B65" i="12" s="1"/>
  <c r="I65" i="12" s="1"/>
  <c r="B31" i="5"/>
  <c r="E37" i="19" s="1"/>
  <c r="B61" i="12" s="1"/>
  <c r="I61" i="12" s="1"/>
  <c r="E91" i="19"/>
  <c r="B115" i="12" s="1"/>
  <c r="I115" i="12" s="1"/>
  <c r="E89" i="19"/>
  <c r="B113" i="12" s="1"/>
  <c r="I113" i="12" s="1"/>
  <c r="H53" i="5"/>
  <c r="I53" i="5" s="1"/>
  <c r="H69" i="8" s="1"/>
  <c r="E87" i="19"/>
  <c r="B111" i="12" s="1"/>
  <c r="I111" i="12" s="1"/>
  <c r="H51" i="5"/>
  <c r="I51" i="5" s="1"/>
  <c r="H67" i="8" s="1"/>
  <c r="E85" i="19"/>
  <c r="B109" i="12" s="1"/>
  <c r="I109" i="12" s="1"/>
  <c r="E83" i="19"/>
  <c r="B107" i="12" s="1"/>
  <c r="I107" i="12" s="1"/>
  <c r="E81" i="19"/>
  <c r="B105" i="12" s="1"/>
  <c r="I105" i="12" s="1"/>
  <c r="E79" i="19"/>
  <c r="B103" i="12" s="1"/>
  <c r="I103" i="12" s="1"/>
  <c r="H43" i="5"/>
  <c r="I43" i="5" s="1"/>
  <c r="E77" i="19"/>
  <c r="B101" i="12" s="1"/>
  <c r="I101" i="12" s="1"/>
  <c r="G37" i="5"/>
  <c r="H48" i="5"/>
  <c r="I48" i="5" s="1"/>
  <c r="H64" i="8" s="1"/>
  <c r="H36" i="5"/>
  <c r="I36" i="5" s="1"/>
  <c r="H30" i="5"/>
  <c r="I30" i="5" s="1"/>
  <c r="H31" i="5"/>
  <c r="I31" i="5" s="1"/>
  <c r="H33" i="5"/>
  <c r="I33" i="5" s="1"/>
  <c r="D59" i="21"/>
  <c r="E59" i="21" s="1"/>
  <c r="G59" i="21" s="1"/>
  <c r="C60" i="21"/>
  <c r="C105" i="4"/>
  <c r="C107" i="4"/>
  <c r="C110" i="4"/>
  <c r="C104" i="4"/>
  <c r="C109" i="4"/>
  <c r="C111" i="4"/>
  <c r="C108" i="4"/>
  <c r="C106" i="4"/>
  <c r="C112" i="4"/>
  <c r="Q73" i="8"/>
  <c r="G147" i="12"/>
  <c r="Q57" i="8"/>
  <c r="G107" i="19" s="1"/>
  <c r="H131" i="12" s="1"/>
  <c r="G131" i="12"/>
  <c r="Q69" i="8"/>
  <c r="G119" i="19" s="1"/>
  <c r="H143" i="12" s="1"/>
  <c r="G143" i="12"/>
  <c r="Q61" i="8"/>
  <c r="G111" i="19" s="1"/>
  <c r="H135" i="12" s="1"/>
  <c r="G135" i="12"/>
  <c r="Q71" i="8"/>
  <c r="G145" i="12"/>
  <c r="Q63" i="8"/>
  <c r="G113" i="19" s="1"/>
  <c r="H137" i="12" s="1"/>
  <c r="G137" i="12"/>
  <c r="Q74" i="8"/>
  <c r="G148" i="12"/>
  <c r="Q70" i="8"/>
  <c r="G120" i="19" s="1"/>
  <c r="H144" i="12" s="1"/>
  <c r="G144" i="12"/>
  <c r="Q66" i="8"/>
  <c r="G116" i="19" s="1"/>
  <c r="H140" i="12" s="1"/>
  <c r="G140" i="12"/>
  <c r="Q62" i="8"/>
  <c r="G112" i="19" s="1"/>
  <c r="H136" i="12" s="1"/>
  <c r="G136" i="12"/>
  <c r="Q58" i="8"/>
  <c r="G108" i="19" s="1"/>
  <c r="H132" i="12" s="1"/>
  <c r="G132" i="12"/>
  <c r="Q65" i="8"/>
  <c r="G115" i="19" s="1"/>
  <c r="H139" i="12" s="1"/>
  <c r="G139" i="12"/>
  <c r="Q67" i="8"/>
  <c r="G117" i="19" s="1"/>
  <c r="H141" i="12" s="1"/>
  <c r="G141" i="12"/>
  <c r="Q59" i="8"/>
  <c r="G109" i="19" s="1"/>
  <c r="H133" i="12" s="1"/>
  <c r="G133" i="12"/>
  <c r="Q72" i="8"/>
  <c r="G146" i="12"/>
  <c r="Q68" i="8"/>
  <c r="G118" i="19" s="1"/>
  <c r="H142" i="12" s="1"/>
  <c r="G142" i="12"/>
  <c r="Q64" i="8"/>
  <c r="G114" i="19" s="1"/>
  <c r="H138" i="12" s="1"/>
  <c r="G138" i="12"/>
  <c r="Q60" i="8"/>
  <c r="G110" i="19" s="1"/>
  <c r="H134" i="12" s="1"/>
  <c r="G134" i="12"/>
  <c r="A62" i="21"/>
  <c r="B27" i="7"/>
  <c r="B25" i="7"/>
  <c r="N74" i="8"/>
  <c r="N72" i="8"/>
  <c r="N70" i="8"/>
  <c r="N68" i="8"/>
  <c r="N66" i="8"/>
  <c r="N64" i="8"/>
  <c r="N62" i="8"/>
  <c r="N60" i="8"/>
  <c r="N58" i="8"/>
  <c r="N50" i="8"/>
  <c r="N73" i="8"/>
  <c r="N69" i="8"/>
  <c r="N65" i="8"/>
  <c r="N61" i="8"/>
  <c r="N57" i="8"/>
  <c r="N71" i="8"/>
  <c r="N67" i="8"/>
  <c r="N63" i="8"/>
  <c r="N59" i="8"/>
  <c r="N113" i="5"/>
  <c r="F131" i="12" s="1"/>
  <c r="N115" i="5"/>
  <c r="F133" i="12" s="1"/>
  <c r="N117" i="5"/>
  <c r="F135" i="12" s="1"/>
  <c r="N119" i="5"/>
  <c r="F137" i="12" s="1"/>
  <c r="N121" i="5"/>
  <c r="F139" i="12" s="1"/>
  <c r="N123" i="5"/>
  <c r="F141" i="12" s="1"/>
  <c r="N125" i="5"/>
  <c r="F143" i="12" s="1"/>
  <c r="N127" i="5"/>
  <c r="F145" i="12" s="1"/>
  <c r="N129" i="5"/>
  <c r="F147" i="12" s="1"/>
  <c r="N114" i="5"/>
  <c r="F132" i="12" s="1"/>
  <c r="N116" i="5"/>
  <c r="F134" i="12" s="1"/>
  <c r="N118" i="5"/>
  <c r="F136" i="12" s="1"/>
  <c r="N120" i="5"/>
  <c r="F138" i="12" s="1"/>
  <c r="N122" i="5"/>
  <c r="F140" i="12" s="1"/>
  <c r="N124" i="5"/>
  <c r="F142" i="12" s="1"/>
  <c r="N126" i="5"/>
  <c r="F144" i="12" s="1"/>
  <c r="N128" i="5"/>
  <c r="F146" i="12" s="1"/>
  <c r="N130" i="5"/>
  <c r="F148" i="12" s="1"/>
  <c r="H54" i="8"/>
  <c r="B32" i="7"/>
  <c r="D34" i="7" s="1"/>
  <c r="N107" i="4" s="1"/>
  <c r="N105" i="5" s="1"/>
  <c r="F123" i="12" s="1"/>
  <c r="D24" i="4"/>
  <c r="D28" i="4" s="1"/>
  <c r="D103" i="4" l="1"/>
  <c r="N56" i="8"/>
  <c r="H58" i="8"/>
  <c r="N48" i="8"/>
  <c r="H62" i="8"/>
  <c r="H66" i="8"/>
  <c r="H70" i="8"/>
  <c r="N108" i="4"/>
  <c r="N106" i="5" s="1"/>
  <c r="F124" i="12" s="1"/>
  <c r="N103" i="4"/>
  <c r="N101" i="5" s="1"/>
  <c r="F119" i="12" s="1"/>
  <c r="L57" i="21"/>
  <c r="L55" i="21"/>
  <c r="L54" i="21"/>
  <c r="L52" i="21"/>
  <c r="L56" i="21"/>
  <c r="L53" i="21"/>
  <c r="L58" i="21"/>
  <c r="N110" i="4"/>
  <c r="N108" i="5" s="1"/>
  <c r="F126" i="12" s="1"/>
  <c r="N109" i="4"/>
  <c r="N107" i="5" s="1"/>
  <c r="F125" i="12" s="1"/>
  <c r="L59" i="21"/>
  <c r="D120" i="12"/>
  <c r="D128" i="12"/>
  <c r="H58" i="5"/>
  <c r="I58" i="5" s="1"/>
  <c r="I132" i="4"/>
  <c r="I130" i="5" s="1"/>
  <c r="F118" i="12" s="1"/>
  <c r="H57" i="5"/>
  <c r="I57" i="5" s="1"/>
  <c r="I131" i="4"/>
  <c r="I129" i="5" s="1"/>
  <c r="F117" i="12" s="1"/>
  <c r="D123" i="12"/>
  <c r="D121" i="12"/>
  <c r="D125" i="12"/>
  <c r="D124" i="12"/>
  <c r="D126" i="12"/>
  <c r="H56" i="5"/>
  <c r="I56" i="5" s="1"/>
  <c r="I130" i="4"/>
  <c r="I128" i="5" s="1"/>
  <c r="F116" i="12" s="1"/>
  <c r="D127" i="12"/>
  <c r="D129" i="12"/>
  <c r="D120" i="4"/>
  <c r="D122" i="4"/>
  <c r="D124" i="4"/>
  <c r="D126" i="4"/>
  <c r="D128" i="4"/>
  <c r="D130" i="4"/>
  <c r="D132" i="4"/>
  <c r="I105" i="4"/>
  <c r="I103" i="5" s="1"/>
  <c r="I115" i="4"/>
  <c r="I113" i="5" s="1"/>
  <c r="F101" i="12" s="1"/>
  <c r="I117" i="4"/>
  <c r="I115" i="5" s="1"/>
  <c r="F103" i="12" s="1"/>
  <c r="I119" i="4"/>
  <c r="I117" i="5" s="1"/>
  <c r="F105" i="12" s="1"/>
  <c r="I121" i="4"/>
  <c r="I119" i="5" s="1"/>
  <c r="F107" i="12" s="1"/>
  <c r="I123" i="4"/>
  <c r="I121" i="5" s="1"/>
  <c r="F109" i="12" s="1"/>
  <c r="I125" i="4"/>
  <c r="I123" i="5" s="1"/>
  <c r="F111" i="12" s="1"/>
  <c r="I127" i="4"/>
  <c r="I125" i="5" s="1"/>
  <c r="F113" i="12" s="1"/>
  <c r="I129" i="4"/>
  <c r="I127" i="5" s="1"/>
  <c r="F115" i="12" s="1"/>
  <c r="D114" i="4"/>
  <c r="C40" i="5" s="1"/>
  <c r="D40" i="5" s="1"/>
  <c r="D115" i="4"/>
  <c r="C41" i="5" s="1"/>
  <c r="D41" i="5" s="1"/>
  <c r="D119" i="4"/>
  <c r="C45" i="5" s="1"/>
  <c r="D45" i="5" s="1"/>
  <c r="D117" i="4"/>
  <c r="C43" i="5" s="1"/>
  <c r="D43" i="5" s="1"/>
  <c r="D106" i="4"/>
  <c r="D111" i="4"/>
  <c r="D104" i="4"/>
  <c r="D107" i="4"/>
  <c r="I104" i="4"/>
  <c r="I108" i="4"/>
  <c r="I106" i="5" s="1"/>
  <c r="F94" i="12" s="1"/>
  <c r="I112" i="4"/>
  <c r="I110" i="5" s="1"/>
  <c r="F98" i="12" s="1"/>
  <c r="I116" i="4"/>
  <c r="I114" i="5" s="1"/>
  <c r="F102" i="12" s="1"/>
  <c r="I120" i="4"/>
  <c r="I118" i="5" s="1"/>
  <c r="F106" i="12" s="1"/>
  <c r="I124" i="4"/>
  <c r="I122" i="5" s="1"/>
  <c r="F110" i="12" s="1"/>
  <c r="I128" i="4"/>
  <c r="I126" i="5" s="1"/>
  <c r="F114" i="12" s="1"/>
  <c r="I111" i="4"/>
  <c r="I109" i="5" s="1"/>
  <c r="F97" i="12" s="1"/>
  <c r="D121" i="4"/>
  <c r="C47" i="5" s="1"/>
  <c r="D47" i="5" s="1"/>
  <c r="D129" i="4"/>
  <c r="C71" i="8" s="1"/>
  <c r="D127" i="4"/>
  <c r="C69" i="8" s="1"/>
  <c r="I109" i="4"/>
  <c r="I107" i="5" s="1"/>
  <c r="F95" i="12" s="1"/>
  <c r="I113" i="4"/>
  <c r="I111" i="5" s="1"/>
  <c r="F99" i="12" s="1"/>
  <c r="D113" i="4"/>
  <c r="C39" i="5" s="1"/>
  <c r="D39" i="5" s="1"/>
  <c r="D116" i="4"/>
  <c r="C58" i="8" s="1"/>
  <c r="D118" i="4"/>
  <c r="C44" i="5" s="1"/>
  <c r="D44" i="5" s="1"/>
  <c r="D112" i="4"/>
  <c r="C54" i="8" s="1"/>
  <c r="D108" i="4"/>
  <c r="D109" i="4"/>
  <c r="D110" i="4"/>
  <c r="D105" i="4"/>
  <c r="I106" i="4"/>
  <c r="I104" i="5" s="1"/>
  <c r="F92" i="12" s="1"/>
  <c r="I110" i="4"/>
  <c r="I108" i="5" s="1"/>
  <c r="I114" i="4"/>
  <c r="I112" i="5" s="1"/>
  <c r="F100" i="12" s="1"/>
  <c r="I118" i="4"/>
  <c r="I116" i="5" s="1"/>
  <c r="F104" i="12" s="1"/>
  <c r="I122" i="4"/>
  <c r="I120" i="5" s="1"/>
  <c r="F108" i="12" s="1"/>
  <c r="I126" i="4"/>
  <c r="I124" i="5" s="1"/>
  <c r="F112" i="12" s="1"/>
  <c r="I107" i="4"/>
  <c r="I105" i="5" s="1"/>
  <c r="F93" i="12" s="1"/>
  <c r="D125" i="4"/>
  <c r="C67" i="8" s="1"/>
  <c r="D123" i="4"/>
  <c r="C65" i="8" s="1"/>
  <c r="D131" i="4"/>
  <c r="C73" i="8" s="1"/>
  <c r="I103" i="4"/>
  <c r="D93" i="12"/>
  <c r="D90" i="12"/>
  <c r="D96" i="12"/>
  <c r="D104" i="12"/>
  <c r="D112" i="12"/>
  <c r="D101" i="12"/>
  <c r="D103" i="12"/>
  <c r="D105" i="12"/>
  <c r="D107" i="12"/>
  <c r="D109" i="12"/>
  <c r="D111" i="12"/>
  <c r="D113" i="12"/>
  <c r="D115" i="12"/>
  <c r="D91" i="12"/>
  <c r="D92" i="12"/>
  <c r="D100" i="12"/>
  <c r="D108" i="12"/>
  <c r="E73" i="19"/>
  <c r="B97" i="12" s="1"/>
  <c r="I97" i="12" s="1"/>
  <c r="H37" i="5"/>
  <c r="I37" i="5" s="1"/>
  <c r="E71" i="19"/>
  <c r="B95" i="12" s="1"/>
  <c r="I95" i="12" s="1"/>
  <c r="H35" i="5"/>
  <c r="I35" i="5" s="1"/>
  <c r="E75" i="19"/>
  <c r="B99" i="12" s="1"/>
  <c r="I99" i="12" s="1"/>
  <c r="H39" i="5"/>
  <c r="I39" i="5" s="1"/>
  <c r="H55" i="8" s="1"/>
  <c r="D60" i="21"/>
  <c r="E60" i="21" s="1"/>
  <c r="G60" i="21" s="1"/>
  <c r="C61" i="21"/>
  <c r="K46" i="21"/>
  <c r="H54" i="12"/>
  <c r="H130" i="19"/>
  <c r="G124" i="19"/>
  <c r="H148" i="12" s="1"/>
  <c r="H127" i="19"/>
  <c r="G121" i="19"/>
  <c r="H145" i="12" s="1"/>
  <c r="H128" i="19"/>
  <c r="G122" i="19"/>
  <c r="H146" i="12" s="1"/>
  <c r="H129" i="19"/>
  <c r="G123" i="19"/>
  <c r="H147" i="12" s="1"/>
  <c r="A63" i="21"/>
  <c r="A64" i="21" s="1"/>
  <c r="A65" i="21" s="1"/>
  <c r="A66" i="21" s="1"/>
  <c r="A67" i="21" s="1"/>
  <c r="A68" i="21" s="1"/>
  <c r="A69" i="21" s="1"/>
  <c r="A70" i="21" s="1"/>
  <c r="A71" i="21" s="1"/>
  <c r="A72" i="21" s="1"/>
  <c r="A73" i="21" s="1"/>
  <c r="A74" i="21" s="1"/>
  <c r="A75" i="21" s="1"/>
  <c r="A76" i="21" s="1"/>
  <c r="A77" i="21" s="1"/>
  <c r="O72" i="8"/>
  <c r="O68" i="8"/>
  <c r="O64" i="8"/>
  <c r="O60" i="8"/>
  <c r="O56" i="8"/>
  <c r="O48" i="8"/>
  <c r="O73" i="8"/>
  <c r="O69" i="8"/>
  <c r="O65" i="8"/>
  <c r="O61" i="8"/>
  <c r="O57" i="8"/>
  <c r="O53" i="8"/>
  <c r="O49" i="8"/>
  <c r="O74" i="8"/>
  <c r="O70" i="8"/>
  <c r="O66" i="8"/>
  <c r="O62" i="8"/>
  <c r="O58" i="8"/>
  <c r="O54" i="8"/>
  <c r="O71" i="8"/>
  <c r="O67" i="8"/>
  <c r="O63" i="8"/>
  <c r="O59" i="8"/>
  <c r="O55" i="8"/>
  <c r="O47" i="8"/>
  <c r="D29" i="4"/>
  <c r="B106" i="5"/>
  <c r="D40" i="19" s="1"/>
  <c r="A64" i="12" s="1"/>
  <c r="B71" i="5"/>
  <c r="C71" i="5" s="1"/>
  <c r="C64" i="12" s="1"/>
  <c r="B122" i="5"/>
  <c r="D56" i="19" s="1"/>
  <c r="A80" i="12" s="1"/>
  <c r="B87" i="5"/>
  <c r="C87" i="5" s="1"/>
  <c r="C80" i="12" s="1"/>
  <c r="B130" i="5"/>
  <c r="D64" i="19" s="1"/>
  <c r="A88" i="12" s="1"/>
  <c r="B95" i="5"/>
  <c r="C95" i="5" s="1"/>
  <c r="L128" i="5"/>
  <c r="D122" i="19" s="1"/>
  <c r="A146" i="12" s="1"/>
  <c r="J93" i="5"/>
  <c r="L124" i="5"/>
  <c r="D118" i="19" s="1"/>
  <c r="A142" i="12" s="1"/>
  <c r="J89" i="5"/>
  <c r="L120" i="5"/>
  <c r="D114" i="19" s="1"/>
  <c r="A138" i="12" s="1"/>
  <c r="J85" i="5"/>
  <c r="L116" i="5"/>
  <c r="D110" i="19" s="1"/>
  <c r="A134" i="12" s="1"/>
  <c r="J81" i="5"/>
  <c r="L112" i="5"/>
  <c r="D106" i="19" s="1"/>
  <c r="A130" i="12" s="1"/>
  <c r="J77" i="5"/>
  <c r="K77" i="5" s="1"/>
  <c r="L108" i="5"/>
  <c r="D102" i="19" s="1"/>
  <c r="A126" i="12" s="1"/>
  <c r="J73" i="5"/>
  <c r="K73" i="5" s="1"/>
  <c r="C126" i="12" s="1"/>
  <c r="L104" i="5"/>
  <c r="D98" i="19" s="1"/>
  <c r="A122" i="12" s="1"/>
  <c r="J69" i="5"/>
  <c r="K69" i="5" s="1"/>
  <c r="L129" i="5"/>
  <c r="D123" i="19" s="1"/>
  <c r="A147" i="12" s="1"/>
  <c r="J94" i="5"/>
  <c r="L125" i="5"/>
  <c r="D119" i="19" s="1"/>
  <c r="A143" i="12" s="1"/>
  <c r="J90" i="5"/>
  <c r="L121" i="5"/>
  <c r="D115" i="19" s="1"/>
  <c r="A139" i="12" s="1"/>
  <c r="J86" i="5"/>
  <c r="L117" i="5"/>
  <c r="D111" i="19" s="1"/>
  <c r="A135" i="12" s="1"/>
  <c r="J82" i="5"/>
  <c r="L113" i="5"/>
  <c r="D107" i="19" s="1"/>
  <c r="A131" i="12" s="1"/>
  <c r="J78" i="5"/>
  <c r="L109" i="5"/>
  <c r="D103" i="19" s="1"/>
  <c r="A127" i="12" s="1"/>
  <c r="J74" i="5"/>
  <c r="K74" i="5" s="1"/>
  <c r="C127" i="12" s="1"/>
  <c r="L105" i="5"/>
  <c r="D99" i="19" s="1"/>
  <c r="A123" i="12" s="1"/>
  <c r="J70" i="5"/>
  <c r="K70" i="5" s="1"/>
  <c r="C123" i="12" s="1"/>
  <c r="L102" i="5"/>
  <c r="D96" i="19" s="1"/>
  <c r="A120" i="12" s="1"/>
  <c r="J67" i="5"/>
  <c r="K67" i="5" s="1"/>
  <c r="C120" i="12" s="1"/>
  <c r="G130" i="5"/>
  <c r="D94" i="19" s="1"/>
  <c r="A118" i="12" s="1"/>
  <c r="F95" i="5"/>
  <c r="G95" i="5" s="1"/>
  <c r="C118" i="12" s="1"/>
  <c r="G126" i="5"/>
  <c r="D90" i="19" s="1"/>
  <c r="A114" i="12" s="1"/>
  <c r="F91" i="5"/>
  <c r="G91" i="5" s="1"/>
  <c r="G122" i="5"/>
  <c r="D86" i="19" s="1"/>
  <c r="A110" i="12" s="1"/>
  <c r="F87" i="5"/>
  <c r="G87" i="5" s="1"/>
  <c r="G118" i="5"/>
  <c r="D82" i="19" s="1"/>
  <c r="A106" i="12" s="1"/>
  <c r="F83" i="5"/>
  <c r="G83" i="5" s="1"/>
  <c r="G114" i="5"/>
  <c r="D78" i="19" s="1"/>
  <c r="A102" i="12" s="1"/>
  <c r="F79" i="5"/>
  <c r="G79" i="5" s="1"/>
  <c r="G110" i="5"/>
  <c r="D74" i="19" s="1"/>
  <c r="A98" i="12" s="1"/>
  <c r="F75" i="5"/>
  <c r="G75" i="5" s="1"/>
  <c r="G106" i="5"/>
  <c r="D70" i="19" s="1"/>
  <c r="A94" i="12" s="1"/>
  <c r="F71" i="5"/>
  <c r="G71" i="5" s="1"/>
  <c r="G102" i="5"/>
  <c r="D66" i="19" s="1"/>
  <c r="A90" i="12" s="1"/>
  <c r="F67" i="5"/>
  <c r="G67" i="5" s="1"/>
  <c r="C90" i="12" s="1"/>
  <c r="B109" i="5"/>
  <c r="D43" i="19" s="1"/>
  <c r="A67" i="12" s="1"/>
  <c r="B74" i="5"/>
  <c r="C74" i="5" s="1"/>
  <c r="C67" i="12" s="1"/>
  <c r="B117" i="5"/>
  <c r="D51" i="19" s="1"/>
  <c r="A75" i="12" s="1"/>
  <c r="B82" i="5"/>
  <c r="C82" i="5" s="1"/>
  <c r="C75" i="12" s="1"/>
  <c r="B125" i="5"/>
  <c r="D59" i="19" s="1"/>
  <c r="A83" i="12" s="1"/>
  <c r="B90" i="5"/>
  <c r="C90" i="5" s="1"/>
  <c r="C83" i="12" s="1"/>
  <c r="G123" i="5"/>
  <c r="D87" i="19" s="1"/>
  <c r="A111" i="12" s="1"/>
  <c r="F88" i="5"/>
  <c r="G88" i="5" s="1"/>
  <c r="C111" i="12" s="1"/>
  <c r="G115" i="5"/>
  <c r="D79" i="19" s="1"/>
  <c r="A103" i="12" s="1"/>
  <c r="F80" i="5"/>
  <c r="G80" i="5" s="1"/>
  <c r="C103" i="12" s="1"/>
  <c r="G107" i="5"/>
  <c r="D71" i="19" s="1"/>
  <c r="A95" i="12" s="1"/>
  <c r="F72" i="5"/>
  <c r="G72" i="5" s="1"/>
  <c r="C95" i="12" s="1"/>
  <c r="B107" i="5"/>
  <c r="D41" i="19" s="1"/>
  <c r="A65" i="12" s="1"/>
  <c r="B72" i="5"/>
  <c r="C72" i="5" s="1"/>
  <c r="C65" i="12" s="1"/>
  <c r="B123" i="5"/>
  <c r="D57" i="19" s="1"/>
  <c r="A81" i="12" s="1"/>
  <c r="B88" i="5"/>
  <c r="C88" i="5" s="1"/>
  <c r="C81" i="12" s="1"/>
  <c r="G129" i="5"/>
  <c r="D93" i="19" s="1"/>
  <c r="A117" i="12" s="1"/>
  <c r="F94" i="5"/>
  <c r="G94" i="5" s="1"/>
  <c r="C117" i="12" s="1"/>
  <c r="G121" i="5"/>
  <c r="D85" i="19" s="1"/>
  <c r="A109" i="12" s="1"/>
  <c r="F86" i="5"/>
  <c r="G86" i="5" s="1"/>
  <c r="C109" i="12" s="1"/>
  <c r="G113" i="5"/>
  <c r="D77" i="19" s="1"/>
  <c r="A101" i="12" s="1"/>
  <c r="F78" i="5"/>
  <c r="G78" i="5" s="1"/>
  <c r="C101" i="12" s="1"/>
  <c r="G105" i="5"/>
  <c r="D69" i="19" s="1"/>
  <c r="A93" i="12" s="1"/>
  <c r="F70" i="5"/>
  <c r="G70" i="5" s="1"/>
  <c r="C93" i="12" s="1"/>
  <c r="B111" i="5"/>
  <c r="D45" i="19" s="1"/>
  <c r="A69" i="12" s="1"/>
  <c r="B76" i="5"/>
  <c r="C76" i="5" s="1"/>
  <c r="C69" i="12" s="1"/>
  <c r="B127" i="5"/>
  <c r="D61" i="19" s="1"/>
  <c r="A85" i="12" s="1"/>
  <c r="B92" i="5"/>
  <c r="C92" i="5" s="1"/>
  <c r="C85" i="12" s="1"/>
  <c r="B102" i="5"/>
  <c r="D36" i="19" s="1"/>
  <c r="A60" i="12" s="1"/>
  <c r="B67" i="5"/>
  <c r="C67" i="5" s="1"/>
  <c r="C60" i="12" s="1"/>
  <c r="B110" i="5"/>
  <c r="D44" i="19" s="1"/>
  <c r="A68" i="12" s="1"/>
  <c r="B75" i="5"/>
  <c r="C75" i="5" s="1"/>
  <c r="C68" i="12" s="1"/>
  <c r="B114" i="5"/>
  <c r="D48" i="19" s="1"/>
  <c r="A72" i="12" s="1"/>
  <c r="B79" i="5"/>
  <c r="C79" i="5" s="1"/>
  <c r="C72" i="12" s="1"/>
  <c r="B118" i="5"/>
  <c r="D52" i="19" s="1"/>
  <c r="A76" i="12" s="1"/>
  <c r="B83" i="5"/>
  <c r="C83" i="5" s="1"/>
  <c r="C76" i="12" s="1"/>
  <c r="B126" i="5"/>
  <c r="D60" i="19" s="1"/>
  <c r="A84" i="12" s="1"/>
  <c r="B91" i="5"/>
  <c r="C91" i="5" s="1"/>
  <c r="B104" i="5"/>
  <c r="D38" i="19" s="1"/>
  <c r="A62" i="12" s="1"/>
  <c r="B69" i="5"/>
  <c r="C69" i="5" s="1"/>
  <c r="C62" i="12" s="1"/>
  <c r="B108" i="5"/>
  <c r="D42" i="19" s="1"/>
  <c r="A66" i="12" s="1"/>
  <c r="B73" i="5"/>
  <c r="C73" i="5" s="1"/>
  <c r="C66" i="12" s="1"/>
  <c r="B112" i="5"/>
  <c r="D46" i="19" s="1"/>
  <c r="A70" i="12" s="1"/>
  <c r="B77" i="5"/>
  <c r="C77" i="5" s="1"/>
  <c r="C70" i="12" s="1"/>
  <c r="B116" i="5"/>
  <c r="D50" i="19" s="1"/>
  <c r="A74" i="12" s="1"/>
  <c r="B81" i="5"/>
  <c r="C81" i="5" s="1"/>
  <c r="C74" i="12" s="1"/>
  <c r="B120" i="5"/>
  <c r="D54" i="19" s="1"/>
  <c r="A78" i="12" s="1"/>
  <c r="B85" i="5"/>
  <c r="C85" i="5" s="1"/>
  <c r="C78" i="12" s="1"/>
  <c r="B124" i="5"/>
  <c r="D58" i="19" s="1"/>
  <c r="A82" i="12" s="1"/>
  <c r="B89" i="5"/>
  <c r="C89" i="5" s="1"/>
  <c r="B128" i="5"/>
  <c r="D62" i="19" s="1"/>
  <c r="A86" i="12" s="1"/>
  <c r="B93" i="5"/>
  <c r="C93" i="5" s="1"/>
  <c r="B105" i="5"/>
  <c r="D39" i="19" s="1"/>
  <c r="A63" i="12" s="1"/>
  <c r="B70" i="5"/>
  <c r="C70" i="5" s="1"/>
  <c r="C63" i="12" s="1"/>
  <c r="L130" i="5"/>
  <c r="D124" i="19" s="1"/>
  <c r="A148" i="12" s="1"/>
  <c r="J95" i="5"/>
  <c r="L126" i="5"/>
  <c r="D120" i="19" s="1"/>
  <c r="A144" i="12" s="1"/>
  <c r="J91" i="5"/>
  <c r="L122" i="5"/>
  <c r="D116" i="19" s="1"/>
  <c r="A140" i="12" s="1"/>
  <c r="J87" i="5"/>
  <c r="L118" i="5"/>
  <c r="D112" i="19" s="1"/>
  <c r="A136" i="12" s="1"/>
  <c r="J83" i="5"/>
  <c r="L114" i="5"/>
  <c r="D108" i="19" s="1"/>
  <c r="A132" i="12" s="1"/>
  <c r="J79" i="5"/>
  <c r="L110" i="5"/>
  <c r="D104" i="19" s="1"/>
  <c r="A128" i="12" s="1"/>
  <c r="J75" i="5"/>
  <c r="K75" i="5" s="1"/>
  <c r="C128" i="12" s="1"/>
  <c r="L106" i="5"/>
  <c r="D100" i="19" s="1"/>
  <c r="A124" i="12" s="1"/>
  <c r="J71" i="5"/>
  <c r="K71" i="5" s="1"/>
  <c r="C124" i="12" s="1"/>
  <c r="L127" i="5"/>
  <c r="D121" i="19" s="1"/>
  <c r="A145" i="12" s="1"/>
  <c r="J92" i="5"/>
  <c r="L123" i="5"/>
  <c r="D117" i="19" s="1"/>
  <c r="A141" i="12" s="1"/>
  <c r="J88" i="5"/>
  <c r="L119" i="5"/>
  <c r="D113" i="19" s="1"/>
  <c r="A137" i="12" s="1"/>
  <c r="J84" i="5"/>
  <c r="L115" i="5"/>
  <c r="D109" i="19" s="1"/>
  <c r="A133" i="12" s="1"/>
  <c r="J80" i="5"/>
  <c r="L111" i="5"/>
  <c r="D105" i="19" s="1"/>
  <c r="A129" i="12" s="1"/>
  <c r="J76" i="5"/>
  <c r="K76" i="5" s="1"/>
  <c r="C129" i="12" s="1"/>
  <c r="L107" i="5"/>
  <c r="D101" i="19" s="1"/>
  <c r="A125" i="12" s="1"/>
  <c r="J72" i="5"/>
  <c r="K72" i="5" s="1"/>
  <c r="C125" i="12" s="1"/>
  <c r="L103" i="5"/>
  <c r="D97" i="19" s="1"/>
  <c r="A121" i="12" s="1"/>
  <c r="J68" i="5"/>
  <c r="K68" i="5" s="1"/>
  <c r="C121" i="12" s="1"/>
  <c r="L101" i="5"/>
  <c r="D95" i="19" s="1"/>
  <c r="A119" i="12" s="1"/>
  <c r="J66" i="5"/>
  <c r="K66" i="5" s="1"/>
  <c r="C119" i="12" s="1"/>
  <c r="G128" i="5"/>
  <c r="D92" i="19" s="1"/>
  <c r="A116" i="12" s="1"/>
  <c r="F93" i="5"/>
  <c r="G93" i="5" s="1"/>
  <c r="C116" i="12" s="1"/>
  <c r="G124" i="5"/>
  <c r="D88" i="19" s="1"/>
  <c r="A112" i="12" s="1"/>
  <c r="F89" i="5"/>
  <c r="G89" i="5" s="1"/>
  <c r="C112" i="12" s="1"/>
  <c r="G120" i="5"/>
  <c r="D84" i="19" s="1"/>
  <c r="A108" i="12" s="1"/>
  <c r="F85" i="5"/>
  <c r="G85" i="5" s="1"/>
  <c r="C108" i="12" s="1"/>
  <c r="G116" i="5"/>
  <c r="D80" i="19" s="1"/>
  <c r="A104" i="12" s="1"/>
  <c r="F81" i="5"/>
  <c r="G81" i="5" s="1"/>
  <c r="C104" i="12" s="1"/>
  <c r="G112" i="5"/>
  <c r="D76" i="19" s="1"/>
  <c r="A100" i="12" s="1"/>
  <c r="F77" i="5"/>
  <c r="G77" i="5" s="1"/>
  <c r="C100" i="12" s="1"/>
  <c r="G108" i="5"/>
  <c r="D72" i="19" s="1"/>
  <c r="A96" i="12" s="1"/>
  <c r="F73" i="5"/>
  <c r="G73" i="5" s="1"/>
  <c r="C96" i="12" s="1"/>
  <c r="G104" i="5"/>
  <c r="D68" i="19" s="1"/>
  <c r="A92" i="12" s="1"/>
  <c r="F69" i="5"/>
  <c r="G69" i="5" s="1"/>
  <c r="C92" i="12" s="1"/>
  <c r="B103" i="5"/>
  <c r="D37" i="19" s="1"/>
  <c r="A61" i="12" s="1"/>
  <c r="B68" i="5"/>
  <c r="C68" i="5" s="1"/>
  <c r="C61" i="12" s="1"/>
  <c r="B113" i="5"/>
  <c r="D47" i="19" s="1"/>
  <c r="A71" i="12" s="1"/>
  <c r="B78" i="5"/>
  <c r="C78" i="5" s="1"/>
  <c r="C71" i="12" s="1"/>
  <c r="B121" i="5"/>
  <c r="D55" i="19" s="1"/>
  <c r="A79" i="12" s="1"/>
  <c r="B86" i="5"/>
  <c r="C86" i="5" s="1"/>
  <c r="C79" i="12" s="1"/>
  <c r="B129" i="5"/>
  <c r="D63" i="19" s="1"/>
  <c r="A87" i="12" s="1"/>
  <c r="B94" i="5"/>
  <c r="C94" i="5" s="1"/>
  <c r="C87" i="12" s="1"/>
  <c r="G127" i="5"/>
  <c r="D91" i="19" s="1"/>
  <c r="A115" i="12" s="1"/>
  <c r="F92" i="5"/>
  <c r="G92" i="5" s="1"/>
  <c r="C115" i="12" s="1"/>
  <c r="G119" i="5"/>
  <c r="D83" i="19" s="1"/>
  <c r="A107" i="12" s="1"/>
  <c r="F84" i="5"/>
  <c r="G84" i="5" s="1"/>
  <c r="C107" i="12" s="1"/>
  <c r="G111" i="5"/>
  <c r="D75" i="19" s="1"/>
  <c r="A99" i="12" s="1"/>
  <c r="F76" i="5"/>
  <c r="G76" i="5" s="1"/>
  <c r="C99" i="12" s="1"/>
  <c r="G103" i="5"/>
  <c r="D67" i="19" s="1"/>
  <c r="A91" i="12" s="1"/>
  <c r="F68" i="5"/>
  <c r="G68" i="5" s="1"/>
  <c r="C91" i="12" s="1"/>
  <c r="B115" i="5"/>
  <c r="D49" i="19" s="1"/>
  <c r="A73" i="12" s="1"/>
  <c r="B80" i="5"/>
  <c r="C80" i="5" s="1"/>
  <c r="C73" i="12" s="1"/>
  <c r="B29" i="5"/>
  <c r="E35" i="19" s="1"/>
  <c r="B59" i="12" s="1"/>
  <c r="I59" i="12" s="1"/>
  <c r="B101" i="5"/>
  <c r="D35" i="19" s="1"/>
  <c r="A59" i="12" s="1"/>
  <c r="B66" i="5"/>
  <c r="C66" i="5" s="1"/>
  <c r="C59" i="12" s="1"/>
  <c r="G125" i="5"/>
  <c r="D89" i="19" s="1"/>
  <c r="A113" i="12" s="1"/>
  <c r="F90" i="5"/>
  <c r="G90" i="5" s="1"/>
  <c r="C113" i="12" s="1"/>
  <c r="G117" i="5"/>
  <c r="D81" i="19" s="1"/>
  <c r="A105" i="12" s="1"/>
  <c r="F82" i="5"/>
  <c r="G82" i="5" s="1"/>
  <c r="C105" i="12" s="1"/>
  <c r="G109" i="5"/>
  <c r="D73" i="19" s="1"/>
  <c r="A97" i="12" s="1"/>
  <c r="F74" i="5"/>
  <c r="G74" i="5" s="1"/>
  <c r="C97" i="12" s="1"/>
  <c r="G29" i="5"/>
  <c r="G101" i="5"/>
  <c r="D65" i="19" s="1"/>
  <c r="A89" i="12" s="1"/>
  <c r="F66" i="5"/>
  <c r="G66" i="5" s="1"/>
  <c r="C89" i="12" s="1"/>
  <c r="B119" i="5"/>
  <c r="D53" i="19" s="1"/>
  <c r="A77" i="12" s="1"/>
  <c r="B84" i="5"/>
  <c r="C84" i="5" s="1"/>
  <c r="C77" i="12" s="1"/>
  <c r="H57" i="8"/>
  <c r="H59" i="8"/>
  <c r="H61" i="8"/>
  <c r="H63" i="8"/>
  <c r="L29" i="5"/>
  <c r="N102" i="5"/>
  <c r="F120" i="12" s="1"/>
  <c r="D30" i="4"/>
  <c r="H59" i="21" l="1"/>
  <c r="I59" i="21" s="1"/>
  <c r="J59" i="21" s="1"/>
  <c r="K59" i="21" s="1"/>
  <c r="H55" i="21"/>
  <c r="I55" i="21" s="1"/>
  <c r="J55" i="21" s="1"/>
  <c r="K55" i="21" s="1"/>
  <c r="H56" i="21"/>
  <c r="I56" i="21" s="1"/>
  <c r="J56" i="21" s="1"/>
  <c r="K56" i="21" s="1"/>
  <c r="H57" i="21"/>
  <c r="I57" i="21" s="1"/>
  <c r="J57" i="21" s="1"/>
  <c r="K57" i="21" s="1"/>
  <c r="H58" i="21"/>
  <c r="I58" i="21" s="1"/>
  <c r="J58" i="21" s="1"/>
  <c r="K58" i="21" s="1"/>
  <c r="H54" i="21"/>
  <c r="I54" i="21" s="1"/>
  <c r="J54" i="21" s="1"/>
  <c r="K54" i="21" s="1"/>
  <c r="H53" i="21"/>
  <c r="I53" i="21" s="1"/>
  <c r="J53" i="21" s="1"/>
  <c r="K53" i="21" s="1"/>
  <c r="C63" i="8"/>
  <c r="I63" i="8"/>
  <c r="I74" i="8"/>
  <c r="C56" i="8"/>
  <c r="I62" i="8"/>
  <c r="I57" i="8"/>
  <c r="I55" i="8"/>
  <c r="I60" i="8"/>
  <c r="I65" i="8"/>
  <c r="I72" i="8"/>
  <c r="C55" i="8"/>
  <c r="C57" i="8"/>
  <c r="I59" i="8"/>
  <c r="I67" i="8"/>
  <c r="C61" i="8"/>
  <c r="I54" i="8"/>
  <c r="C55" i="5"/>
  <c r="D55" i="5" s="1"/>
  <c r="B71" i="8" s="1"/>
  <c r="I58" i="8"/>
  <c r="O52" i="8"/>
  <c r="I69" i="8"/>
  <c r="I70" i="8"/>
  <c r="I68" i="8"/>
  <c r="C59" i="8"/>
  <c r="C42" i="5"/>
  <c r="D42" i="5" s="1"/>
  <c r="B58" i="8" s="1"/>
  <c r="C57" i="5"/>
  <c r="D57" i="5" s="1"/>
  <c r="D87" i="12" s="1"/>
  <c r="C53" i="5"/>
  <c r="D53" i="5" s="1"/>
  <c r="C125" i="5" s="1"/>
  <c r="F59" i="19" s="1"/>
  <c r="E83" i="12" s="1"/>
  <c r="I61" i="8"/>
  <c r="I73" i="8"/>
  <c r="C60" i="8"/>
  <c r="C49" i="5"/>
  <c r="D49" i="5" s="1"/>
  <c r="B65" i="8" s="1"/>
  <c r="O51" i="8"/>
  <c r="I71" i="8"/>
  <c r="I64" i="8"/>
  <c r="O50" i="8"/>
  <c r="I66" i="8"/>
  <c r="I56" i="8"/>
  <c r="L60" i="21"/>
  <c r="H52" i="21"/>
  <c r="I52" i="21" s="1"/>
  <c r="C130" i="12"/>
  <c r="M112" i="5"/>
  <c r="F106" i="19" s="1"/>
  <c r="E130" i="12" s="1"/>
  <c r="M111" i="5"/>
  <c r="F105" i="19" s="1"/>
  <c r="E129" i="12" s="1"/>
  <c r="M109" i="5"/>
  <c r="F103" i="19" s="1"/>
  <c r="E127" i="12" s="1"/>
  <c r="M108" i="5"/>
  <c r="F102" i="19" s="1"/>
  <c r="E126" i="12" s="1"/>
  <c r="M106" i="5"/>
  <c r="F100" i="19" s="1"/>
  <c r="E124" i="12" s="1"/>
  <c r="M107" i="5"/>
  <c r="F101" i="19" s="1"/>
  <c r="E125" i="12" s="1"/>
  <c r="M103" i="5"/>
  <c r="F97" i="19" s="1"/>
  <c r="E121" i="12" s="1"/>
  <c r="M105" i="5"/>
  <c r="F99" i="19" s="1"/>
  <c r="E123" i="12" s="1"/>
  <c r="M110" i="5"/>
  <c r="F104" i="19" s="1"/>
  <c r="E128" i="12" s="1"/>
  <c r="M102" i="5"/>
  <c r="F96" i="19" s="1"/>
  <c r="E120" i="12" s="1"/>
  <c r="E95" i="19"/>
  <c r="B119" i="12" s="1"/>
  <c r="I119" i="12" s="1"/>
  <c r="M29" i="5"/>
  <c r="N29" i="5" s="1"/>
  <c r="C122" i="12"/>
  <c r="M104" i="5"/>
  <c r="F98" i="19" s="1"/>
  <c r="E122" i="12" s="1"/>
  <c r="D116" i="12"/>
  <c r="H128" i="5"/>
  <c r="F92" i="19" s="1"/>
  <c r="E116" i="12" s="1"/>
  <c r="H72" i="8"/>
  <c r="D117" i="12"/>
  <c r="H129" i="5"/>
  <c r="F93" i="19" s="1"/>
  <c r="E117" i="12" s="1"/>
  <c r="H73" i="8"/>
  <c r="D118" i="12"/>
  <c r="H130" i="5"/>
  <c r="F94" i="19" s="1"/>
  <c r="E118" i="12" s="1"/>
  <c r="H74" i="8"/>
  <c r="C51" i="5"/>
  <c r="D51" i="5" s="1"/>
  <c r="B67" i="8" s="1"/>
  <c r="C72" i="8"/>
  <c r="C56" i="5"/>
  <c r="D56" i="5" s="1"/>
  <c r="C68" i="8"/>
  <c r="C52" i="5"/>
  <c r="D52" i="5" s="1"/>
  <c r="C64" i="8"/>
  <c r="C48" i="5"/>
  <c r="D48" i="5" s="1"/>
  <c r="C120" i="5" s="1"/>
  <c r="F54" i="19" s="1"/>
  <c r="E78" i="12" s="1"/>
  <c r="C74" i="8"/>
  <c r="C58" i="5"/>
  <c r="D58" i="5" s="1"/>
  <c r="C70" i="8"/>
  <c r="C54" i="5"/>
  <c r="D54" i="5" s="1"/>
  <c r="C66" i="8"/>
  <c r="C50" i="5"/>
  <c r="D50" i="5" s="1"/>
  <c r="C122" i="5" s="1"/>
  <c r="F56" i="19" s="1"/>
  <c r="E80" i="12" s="1"/>
  <c r="C62" i="8"/>
  <c r="C46" i="5"/>
  <c r="D46" i="5" s="1"/>
  <c r="E65" i="19"/>
  <c r="B89" i="12" s="1"/>
  <c r="I89" i="12" s="1"/>
  <c r="H29" i="5"/>
  <c r="I29" i="5" s="1"/>
  <c r="H45" i="8" s="1"/>
  <c r="C86" i="12"/>
  <c r="C128" i="5"/>
  <c r="F62" i="19" s="1"/>
  <c r="E86" i="12" s="1"/>
  <c r="C82" i="12"/>
  <c r="C124" i="5"/>
  <c r="F58" i="19" s="1"/>
  <c r="E82" i="12" s="1"/>
  <c r="C84" i="12"/>
  <c r="C126" i="5"/>
  <c r="F60" i="19" s="1"/>
  <c r="E84" i="12" s="1"/>
  <c r="C94" i="12"/>
  <c r="H106" i="5"/>
  <c r="F70" i="19" s="1"/>
  <c r="E94" i="12" s="1"/>
  <c r="C98" i="12"/>
  <c r="H110" i="5"/>
  <c r="F74" i="19" s="1"/>
  <c r="E98" i="12" s="1"/>
  <c r="C102" i="12"/>
  <c r="H114" i="5"/>
  <c r="F78" i="19" s="1"/>
  <c r="E102" i="12" s="1"/>
  <c r="C106" i="12"/>
  <c r="H118" i="5"/>
  <c r="F82" i="19" s="1"/>
  <c r="E106" i="12" s="1"/>
  <c r="C110" i="12"/>
  <c r="H122" i="5"/>
  <c r="F86" i="19" s="1"/>
  <c r="E110" i="12" s="1"/>
  <c r="C114" i="12"/>
  <c r="H126" i="5"/>
  <c r="F90" i="19" s="1"/>
  <c r="E114" i="12" s="1"/>
  <c r="C88" i="12"/>
  <c r="C130" i="5"/>
  <c r="F64" i="19" s="1"/>
  <c r="E88" i="12" s="1"/>
  <c r="H105" i="5"/>
  <c r="F69" i="19" s="1"/>
  <c r="E93" i="12" s="1"/>
  <c r="D99" i="12"/>
  <c r="H111" i="5"/>
  <c r="F75" i="19" s="1"/>
  <c r="E99" i="12" s="1"/>
  <c r="D95" i="12"/>
  <c r="H107" i="5"/>
  <c r="F71" i="19" s="1"/>
  <c r="E95" i="12" s="1"/>
  <c r="C129" i="5"/>
  <c r="F63" i="19" s="1"/>
  <c r="E87" i="12" s="1"/>
  <c r="D97" i="12"/>
  <c r="H109" i="5"/>
  <c r="F73" i="19" s="1"/>
  <c r="E97" i="12" s="1"/>
  <c r="H120" i="5"/>
  <c r="F84" i="19" s="1"/>
  <c r="E108" i="12" s="1"/>
  <c r="H112" i="5"/>
  <c r="F76" i="19" s="1"/>
  <c r="E100" i="12" s="1"/>
  <c r="H104" i="5"/>
  <c r="F68" i="19" s="1"/>
  <c r="E92" i="12" s="1"/>
  <c r="H103" i="5"/>
  <c r="F67" i="19" s="1"/>
  <c r="E91" i="12" s="1"/>
  <c r="C119" i="5"/>
  <c r="F53" i="19" s="1"/>
  <c r="E77" i="12" s="1"/>
  <c r="B63" i="8"/>
  <c r="D77" i="12"/>
  <c r="H127" i="5"/>
  <c r="F91" i="19" s="1"/>
  <c r="E115" i="12" s="1"/>
  <c r="H125" i="5"/>
  <c r="F89" i="19" s="1"/>
  <c r="E113" i="12" s="1"/>
  <c r="H123" i="5"/>
  <c r="F87" i="19" s="1"/>
  <c r="E111" i="12" s="1"/>
  <c r="H121" i="5"/>
  <c r="F85" i="19" s="1"/>
  <c r="E109" i="12" s="1"/>
  <c r="H119" i="5"/>
  <c r="F83" i="19" s="1"/>
  <c r="E107" i="12" s="1"/>
  <c r="H117" i="5"/>
  <c r="F81" i="19" s="1"/>
  <c r="E105" i="12" s="1"/>
  <c r="H115" i="5"/>
  <c r="F79" i="19" s="1"/>
  <c r="E103" i="12" s="1"/>
  <c r="H113" i="5"/>
  <c r="F77" i="19" s="1"/>
  <c r="E101" i="12" s="1"/>
  <c r="H124" i="5"/>
  <c r="F88" i="19" s="1"/>
  <c r="E112" i="12" s="1"/>
  <c r="H116" i="5"/>
  <c r="F80" i="19" s="1"/>
  <c r="E104" i="12" s="1"/>
  <c r="H108" i="5"/>
  <c r="F72" i="19" s="1"/>
  <c r="E96" i="12" s="1"/>
  <c r="H102" i="5"/>
  <c r="F66" i="19" s="1"/>
  <c r="E90" i="12" s="1"/>
  <c r="D61" i="21"/>
  <c r="E61" i="21" s="1"/>
  <c r="G61" i="21" s="1"/>
  <c r="C62" i="21"/>
  <c r="C115" i="5"/>
  <c r="F49" i="19" s="1"/>
  <c r="E73" i="12" s="1"/>
  <c r="B59" i="8"/>
  <c r="D73" i="12"/>
  <c r="C116" i="5"/>
  <c r="F50" i="19" s="1"/>
  <c r="E74" i="12" s="1"/>
  <c r="B60" i="8"/>
  <c r="D74" i="12"/>
  <c r="C117" i="5"/>
  <c r="F51" i="19" s="1"/>
  <c r="E75" i="12" s="1"/>
  <c r="D75" i="12"/>
  <c r="B61" i="8"/>
  <c r="C113" i="5"/>
  <c r="F47" i="19" s="1"/>
  <c r="E71" i="12" s="1"/>
  <c r="B57" i="8"/>
  <c r="D71" i="12"/>
  <c r="C38" i="5"/>
  <c r="D38" i="5" s="1"/>
  <c r="C110" i="5" s="1"/>
  <c r="F44" i="19" s="1"/>
  <c r="E68" i="12" s="1"/>
  <c r="C111" i="5"/>
  <c r="F45" i="19" s="1"/>
  <c r="E69" i="12" s="1"/>
  <c r="B55" i="8"/>
  <c r="D69" i="12"/>
  <c r="C112" i="5"/>
  <c r="F46" i="19" s="1"/>
  <c r="E70" i="12" s="1"/>
  <c r="D70" i="12"/>
  <c r="B56" i="8"/>
  <c r="C29" i="5"/>
  <c r="I47" i="8"/>
  <c r="F91" i="12"/>
  <c r="I52" i="8"/>
  <c r="F96" i="12"/>
  <c r="C31" i="5"/>
  <c r="D31" i="5" s="1"/>
  <c r="C103" i="5" s="1"/>
  <c r="F37" i="19" s="1"/>
  <c r="E61" i="12" s="1"/>
  <c r="C47" i="8"/>
  <c r="C35" i="5"/>
  <c r="D35" i="5" s="1"/>
  <c r="C107" i="5" s="1"/>
  <c r="F41" i="19" s="1"/>
  <c r="E65" i="12" s="1"/>
  <c r="C51" i="8"/>
  <c r="C30" i="5"/>
  <c r="D30" i="5" s="1"/>
  <c r="C102" i="5" s="1"/>
  <c r="F36" i="19" s="1"/>
  <c r="E60" i="12" s="1"/>
  <c r="C46" i="8"/>
  <c r="C36" i="5"/>
  <c r="D36" i="5" s="1"/>
  <c r="C108" i="5" s="1"/>
  <c r="F42" i="19" s="1"/>
  <c r="E66" i="12" s="1"/>
  <c r="C52" i="8"/>
  <c r="C33" i="5"/>
  <c r="D33" i="5" s="1"/>
  <c r="C105" i="5" s="1"/>
  <c r="F39" i="19" s="1"/>
  <c r="E63" i="12" s="1"/>
  <c r="C49" i="8"/>
  <c r="C37" i="5"/>
  <c r="D37" i="5" s="1"/>
  <c r="C109" i="5" s="1"/>
  <c r="F43" i="19" s="1"/>
  <c r="E67" i="12" s="1"/>
  <c r="C53" i="8"/>
  <c r="C34" i="5"/>
  <c r="D34" i="5" s="1"/>
  <c r="C106" i="5" s="1"/>
  <c r="F40" i="19" s="1"/>
  <c r="E64" i="12" s="1"/>
  <c r="C50" i="8"/>
  <c r="C32" i="5"/>
  <c r="D32" i="5" s="1"/>
  <c r="C104" i="5" s="1"/>
  <c r="F38" i="19" s="1"/>
  <c r="E62" i="12" s="1"/>
  <c r="C48" i="8"/>
  <c r="I51" i="8"/>
  <c r="I49" i="8"/>
  <c r="I53" i="8"/>
  <c r="H47" i="8"/>
  <c r="H52" i="8"/>
  <c r="H50" i="8"/>
  <c r="I48" i="8"/>
  <c r="H49" i="8"/>
  <c r="H53" i="8"/>
  <c r="H48" i="8"/>
  <c r="H51" i="8"/>
  <c r="O46" i="8"/>
  <c r="O45" i="8"/>
  <c r="I50" i="8"/>
  <c r="H46" i="8"/>
  <c r="C206" i="3"/>
  <c r="C205" i="3"/>
  <c r="H60" i="21" l="1"/>
  <c r="I60" i="21" s="1"/>
  <c r="J60" i="21" s="1"/>
  <c r="K60" i="21" s="1"/>
  <c r="C114" i="5"/>
  <c r="F48" i="19" s="1"/>
  <c r="E72" i="12" s="1"/>
  <c r="C127" i="5"/>
  <c r="F61" i="19" s="1"/>
  <c r="E85" i="12" s="1"/>
  <c r="D85" i="12"/>
  <c r="C123" i="5"/>
  <c r="F57" i="19" s="1"/>
  <c r="E81" i="12" s="1"/>
  <c r="D72" i="12"/>
  <c r="D81" i="12"/>
  <c r="B73" i="8"/>
  <c r="D79" i="12"/>
  <c r="B69" i="8"/>
  <c r="C121" i="5"/>
  <c r="F55" i="19" s="1"/>
  <c r="E79" i="12" s="1"/>
  <c r="D83" i="12"/>
  <c r="L61" i="21"/>
  <c r="H61" i="21" s="1"/>
  <c r="I61" i="21" s="1"/>
  <c r="J61" i="21" s="1"/>
  <c r="K61" i="21" s="1"/>
  <c r="C63" i="21"/>
  <c r="J52" i="21"/>
  <c r="K52" i="21" s="1"/>
  <c r="M101" i="5"/>
  <c r="F95" i="19" s="1"/>
  <c r="E119" i="12" s="1"/>
  <c r="N45" i="8"/>
  <c r="D119" i="12"/>
  <c r="B62" i="8"/>
  <c r="D76" i="12"/>
  <c r="B66" i="8"/>
  <c r="D80" i="12"/>
  <c r="B70" i="8"/>
  <c r="D84" i="12"/>
  <c r="B74" i="8"/>
  <c r="D88" i="12"/>
  <c r="B64" i="8"/>
  <c r="D78" i="12"/>
  <c r="B68" i="8"/>
  <c r="D82" i="12"/>
  <c r="B72" i="8"/>
  <c r="D86" i="12"/>
  <c r="C118" i="5"/>
  <c r="F52" i="19" s="1"/>
  <c r="E76" i="12" s="1"/>
  <c r="D89" i="12"/>
  <c r="H101" i="5"/>
  <c r="F65" i="19" s="1"/>
  <c r="E89" i="12" s="1"/>
  <c r="D62" i="21"/>
  <c r="E62" i="21" s="1"/>
  <c r="G62" i="21" s="1"/>
  <c r="B54" i="8"/>
  <c r="D68" i="12"/>
  <c r="B50" i="8"/>
  <c r="D64" i="12"/>
  <c r="B48" i="8"/>
  <c r="D62" i="12"/>
  <c r="B53" i="8"/>
  <c r="D67" i="12"/>
  <c r="B49" i="8"/>
  <c r="D63" i="12"/>
  <c r="B52" i="8"/>
  <c r="D66" i="12"/>
  <c r="B46" i="8"/>
  <c r="D60" i="12"/>
  <c r="B51" i="8"/>
  <c r="D65" i="12"/>
  <c r="B47" i="8"/>
  <c r="D61" i="12"/>
  <c r="C211" i="3"/>
  <c r="D97" i="3"/>
  <c r="E104" i="3" s="1"/>
  <c r="D86" i="3"/>
  <c r="E103" i="3" s="1"/>
  <c r="C75" i="3"/>
  <c r="D65" i="3"/>
  <c r="E102" i="3" s="1"/>
  <c r="D51" i="3"/>
  <c r="E101" i="3" s="1"/>
  <c r="D63" i="21" l="1"/>
  <c r="E63" i="21" s="1"/>
  <c r="G63" i="21" s="1"/>
  <c r="C64" i="21"/>
  <c r="L62" i="21"/>
  <c r="H62" i="21" s="1"/>
  <c r="I62" i="21" s="1"/>
  <c r="J62" i="21" s="1"/>
  <c r="K62" i="21" s="1"/>
  <c r="D80" i="3"/>
  <c r="D103" i="3" s="1"/>
  <c r="D21" i="8"/>
  <c r="D34" i="8" s="1"/>
  <c r="D101" i="3"/>
  <c r="D92" i="4"/>
  <c r="E92" i="4" s="1"/>
  <c r="D59" i="3"/>
  <c r="D102" i="3" s="1"/>
  <c r="D144" i="3"/>
  <c r="D137" i="3"/>
  <c r="D132" i="3"/>
  <c r="D188" i="3"/>
  <c r="E20" i="18" s="1"/>
  <c r="D149" i="3"/>
  <c r="D91" i="3"/>
  <c r="D104" i="3" s="1"/>
  <c r="C65" i="21" l="1"/>
  <c r="D64" i="21"/>
  <c r="L63" i="21"/>
  <c r="H63" i="21" s="1"/>
  <c r="I63" i="21" s="1"/>
  <c r="J63" i="21" s="1"/>
  <c r="K63" i="21" s="1"/>
  <c r="D221" i="3"/>
  <c r="E33" i="18" s="1"/>
  <c r="C45" i="8"/>
  <c r="I101" i="5"/>
  <c r="F89" i="12" s="1"/>
  <c r="I102" i="5"/>
  <c r="F90" i="12" s="1"/>
  <c r="D216" i="3"/>
  <c r="E32" i="18" s="1"/>
  <c r="D176" i="3"/>
  <c r="E49" i="18" s="1"/>
  <c r="D172" i="3"/>
  <c r="E48" i="18" s="1"/>
  <c r="D168" i="3"/>
  <c r="D156" i="3"/>
  <c r="L64" i="21" l="1"/>
  <c r="H64" i="21" s="1"/>
  <c r="I64" i="21" s="1"/>
  <c r="E64" i="21"/>
  <c r="G64" i="21" s="1"/>
  <c r="C66" i="21"/>
  <c r="D65" i="21"/>
  <c r="I45" i="8"/>
  <c r="I46" i="8"/>
  <c r="E82" i="18"/>
  <c r="D120" i="5"/>
  <c r="F78" i="12" s="1"/>
  <c r="D126" i="5"/>
  <c r="F84" i="12" s="1"/>
  <c r="D124" i="5"/>
  <c r="F82" i="12" s="1"/>
  <c r="D122" i="5"/>
  <c r="F80" i="12" s="1"/>
  <c r="D129" i="5"/>
  <c r="F87" i="12" s="1"/>
  <c r="D128" i="5"/>
  <c r="F86" i="12" s="1"/>
  <c r="D130" i="5"/>
  <c r="F88" i="12" s="1"/>
  <c r="D121" i="5"/>
  <c r="F79" i="12" s="1"/>
  <c r="D123" i="5"/>
  <c r="F81" i="12" s="1"/>
  <c r="D127" i="5"/>
  <c r="F85" i="12" s="1"/>
  <c r="D125" i="5"/>
  <c r="F83" i="12" s="1"/>
  <c r="D235" i="3"/>
  <c r="E52" i="18" s="1"/>
  <c r="D182" i="3"/>
  <c r="E18" i="18" s="1"/>
  <c r="D227" i="3"/>
  <c r="D112" i="5"/>
  <c r="F70" i="12" s="1"/>
  <c r="D114" i="5"/>
  <c r="F72" i="12" s="1"/>
  <c r="D107" i="5"/>
  <c r="F65" i="12" s="1"/>
  <c r="D119" i="5"/>
  <c r="F77" i="12" s="1"/>
  <c r="D116" i="5"/>
  <c r="F74" i="12" s="1"/>
  <c r="D118" i="5"/>
  <c r="F76" i="12" s="1"/>
  <c r="D102" i="5"/>
  <c r="F60" i="12" s="1"/>
  <c r="D117" i="5"/>
  <c r="F75" i="12" s="1"/>
  <c r="D105" i="5"/>
  <c r="F63" i="12" s="1"/>
  <c r="D29" i="5"/>
  <c r="D101" i="5"/>
  <c r="F59" i="12" s="1"/>
  <c r="D104" i="5"/>
  <c r="F62" i="12" s="1"/>
  <c r="D106" i="5"/>
  <c r="F64" i="12" s="1"/>
  <c r="D111" i="5"/>
  <c r="F69" i="12" s="1"/>
  <c r="D109" i="5"/>
  <c r="F67" i="12" s="1"/>
  <c r="D108" i="5"/>
  <c r="F66" i="12" s="1"/>
  <c r="D110" i="5"/>
  <c r="F68" i="12" s="1"/>
  <c r="D113" i="5"/>
  <c r="F71" i="12" s="1"/>
  <c r="D115" i="5"/>
  <c r="F73" i="12" s="1"/>
  <c r="D103" i="5"/>
  <c r="F61" i="12" s="1"/>
  <c r="L65" i="21" l="1"/>
  <c r="H65" i="21" s="1"/>
  <c r="I65" i="21" s="1"/>
  <c r="E65" i="21"/>
  <c r="G65" i="21" s="1"/>
  <c r="C67" i="21"/>
  <c r="D66" i="21"/>
  <c r="J64" i="21"/>
  <c r="K64" i="21" s="1"/>
  <c r="D59" i="12"/>
  <c r="C101" i="5"/>
  <c r="F35" i="19" s="1"/>
  <c r="E59" i="12" s="1"/>
  <c r="F227" i="3"/>
  <c r="D39" i="18" s="1"/>
  <c r="E36" i="18"/>
  <c r="D18" i="4"/>
  <c r="D85" i="18"/>
  <c r="F235" i="3"/>
  <c r="D55" i="18" s="1"/>
  <c r="F188" i="3"/>
  <c r="D23" i="18" s="1"/>
  <c r="B45" i="8"/>
  <c r="P56" i="8" s="1"/>
  <c r="D34" i="4"/>
  <c r="L66" i="21" l="1"/>
  <c r="H66" i="21" s="1"/>
  <c r="I66" i="21" s="1"/>
  <c r="E66" i="21"/>
  <c r="G66" i="21" s="1"/>
  <c r="C68" i="21"/>
  <c r="D67" i="21"/>
  <c r="J65" i="21"/>
  <c r="K65" i="21" s="1"/>
  <c r="G130" i="12"/>
  <c r="Q56" i="8"/>
  <c r="G106" i="19" s="1"/>
  <c r="H130" i="12" s="1"/>
  <c r="P47" i="8"/>
  <c r="P55" i="8"/>
  <c r="P52" i="8"/>
  <c r="P53" i="8"/>
  <c r="P50" i="8"/>
  <c r="P48" i="8"/>
  <c r="P49" i="8"/>
  <c r="P51" i="8"/>
  <c r="P46" i="8"/>
  <c r="P54" i="8"/>
  <c r="J74" i="8"/>
  <c r="J73" i="8"/>
  <c r="J72" i="8"/>
  <c r="P45" i="8"/>
  <c r="J48" i="8"/>
  <c r="J56" i="8"/>
  <c r="J64" i="8"/>
  <c r="D62" i="8"/>
  <c r="D70" i="8"/>
  <c r="J49" i="8"/>
  <c r="J65" i="8"/>
  <c r="J47" i="8"/>
  <c r="J63" i="8"/>
  <c r="D65" i="8"/>
  <c r="J46" i="8"/>
  <c r="J54" i="8"/>
  <c r="J62" i="8"/>
  <c r="J70" i="8"/>
  <c r="D68" i="8"/>
  <c r="J53" i="8"/>
  <c r="J69" i="8"/>
  <c r="D71" i="8"/>
  <c r="J59" i="8"/>
  <c r="J45" i="8"/>
  <c r="J52" i="8"/>
  <c r="J60" i="8"/>
  <c r="J68" i="8"/>
  <c r="D66" i="8"/>
  <c r="D74" i="8"/>
  <c r="J57" i="8"/>
  <c r="D67" i="8"/>
  <c r="J55" i="8"/>
  <c r="J71" i="8"/>
  <c r="D73" i="8"/>
  <c r="J50" i="8"/>
  <c r="J58" i="8"/>
  <c r="J66" i="8"/>
  <c r="D64" i="8"/>
  <c r="D72" i="8"/>
  <c r="J61" i="8"/>
  <c r="D63" i="8"/>
  <c r="J51" i="8"/>
  <c r="J67" i="8"/>
  <c r="D69" i="8"/>
  <c r="E69" i="18"/>
  <c r="D46" i="4"/>
  <c r="E70" i="18" s="1"/>
  <c r="D57" i="8"/>
  <c r="E57" i="8" s="1"/>
  <c r="G47" i="19" s="1"/>
  <c r="H71" i="12" s="1"/>
  <c r="D58" i="8"/>
  <c r="D60" i="8"/>
  <c r="D59" i="8"/>
  <c r="D61" i="8"/>
  <c r="D56" i="8"/>
  <c r="D55" i="8"/>
  <c r="D54" i="8"/>
  <c r="D53" i="8"/>
  <c r="D48" i="8"/>
  <c r="D49" i="8"/>
  <c r="D46" i="8"/>
  <c r="D51" i="8"/>
  <c r="D50" i="8"/>
  <c r="D52" i="8"/>
  <c r="D47" i="8"/>
  <c r="D45" i="8"/>
  <c r="D64" i="4"/>
  <c r="J66" i="21" l="1"/>
  <c r="K66" i="21" s="1"/>
  <c r="L67" i="21"/>
  <c r="H67" i="21" s="1"/>
  <c r="I67" i="21" s="1"/>
  <c r="E67" i="21"/>
  <c r="G67" i="21" s="1"/>
  <c r="C69" i="21"/>
  <c r="D68" i="21"/>
  <c r="G119" i="12"/>
  <c r="Q45" i="8"/>
  <c r="G95" i="19" s="1"/>
  <c r="H119" i="12" s="1"/>
  <c r="G117" i="12"/>
  <c r="K73" i="8"/>
  <c r="G93" i="19" s="1"/>
  <c r="H117" i="12" s="1"/>
  <c r="G128" i="12"/>
  <c r="Q54" i="8"/>
  <c r="G104" i="19" s="1"/>
  <c r="H128" i="12" s="1"/>
  <c r="G125" i="12"/>
  <c r="Q51" i="8"/>
  <c r="G101" i="19" s="1"/>
  <c r="H125" i="12" s="1"/>
  <c r="G122" i="12"/>
  <c r="Q48" i="8"/>
  <c r="G98" i="19" s="1"/>
  <c r="H122" i="12" s="1"/>
  <c r="G127" i="12"/>
  <c r="Q53" i="8"/>
  <c r="G103" i="19" s="1"/>
  <c r="H127" i="12" s="1"/>
  <c r="G129" i="12"/>
  <c r="Q55" i="8"/>
  <c r="G105" i="19" s="1"/>
  <c r="H129" i="12" s="1"/>
  <c r="G116" i="12"/>
  <c r="K72" i="8"/>
  <c r="G92" i="19" s="1"/>
  <c r="H116" i="12" s="1"/>
  <c r="G118" i="12"/>
  <c r="K74" i="8"/>
  <c r="G94" i="19" s="1"/>
  <c r="H118" i="12" s="1"/>
  <c r="G120" i="12"/>
  <c r="Q46" i="8"/>
  <c r="G96" i="19" s="1"/>
  <c r="H120" i="12" s="1"/>
  <c r="G123" i="12"/>
  <c r="Q49" i="8"/>
  <c r="G99" i="19" s="1"/>
  <c r="H123" i="12" s="1"/>
  <c r="G124" i="12"/>
  <c r="Q50" i="8"/>
  <c r="G100" i="19" s="1"/>
  <c r="H124" i="12" s="1"/>
  <c r="G126" i="12"/>
  <c r="Q52" i="8"/>
  <c r="G102" i="19" s="1"/>
  <c r="H126" i="12" s="1"/>
  <c r="G121" i="12"/>
  <c r="Q47" i="8"/>
  <c r="G97" i="19" s="1"/>
  <c r="H121" i="12" s="1"/>
  <c r="E69" i="8"/>
  <c r="G59" i="19" s="1"/>
  <c r="H83" i="12" s="1"/>
  <c r="G83" i="12"/>
  <c r="K51" i="8"/>
  <c r="G71" i="19" s="1"/>
  <c r="H95" i="12" s="1"/>
  <c r="G95" i="12"/>
  <c r="K61" i="8"/>
  <c r="G81" i="19" s="1"/>
  <c r="H105" i="12" s="1"/>
  <c r="G105" i="12"/>
  <c r="E64" i="8"/>
  <c r="G54" i="19" s="1"/>
  <c r="H78" i="12" s="1"/>
  <c r="G78" i="12"/>
  <c r="K58" i="8"/>
  <c r="G78" i="19" s="1"/>
  <c r="H102" i="12" s="1"/>
  <c r="G102" i="12"/>
  <c r="E73" i="8"/>
  <c r="G63" i="19" s="1"/>
  <c r="H87" i="12" s="1"/>
  <c r="G87" i="12"/>
  <c r="K55" i="8"/>
  <c r="G75" i="19" s="1"/>
  <c r="H99" i="12" s="1"/>
  <c r="G99" i="12"/>
  <c r="K57" i="8"/>
  <c r="G77" i="19" s="1"/>
  <c r="H101" i="12" s="1"/>
  <c r="G101" i="12"/>
  <c r="E66" i="8"/>
  <c r="G56" i="19" s="1"/>
  <c r="H80" i="12" s="1"/>
  <c r="G80" i="12"/>
  <c r="K60" i="8"/>
  <c r="G80" i="19" s="1"/>
  <c r="H104" i="12" s="1"/>
  <c r="G104" i="12"/>
  <c r="K45" i="8"/>
  <c r="G65" i="19" s="1"/>
  <c r="H89" i="12" s="1"/>
  <c r="G89" i="12"/>
  <c r="E71" i="8"/>
  <c r="G61" i="19" s="1"/>
  <c r="H85" i="12" s="1"/>
  <c r="G85" i="12"/>
  <c r="K53" i="8"/>
  <c r="G73" i="19" s="1"/>
  <c r="H97" i="12" s="1"/>
  <c r="G97" i="12"/>
  <c r="K70" i="8"/>
  <c r="G90" i="19" s="1"/>
  <c r="H114" i="12" s="1"/>
  <c r="G114" i="12"/>
  <c r="K54" i="8"/>
  <c r="G74" i="19" s="1"/>
  <c r="H98" i="12" s="1"/>
  <c r="G98" i="12"/>
  <c r="E65" i="8"/>
  <c r="G55" i="19" s="1"/>
  <c r="H79" i="12" s="1"/>
  <c r="G79" i="12"/>
  <c r="K47" i="8"/>
  <c r="G67" i="19" s="1"/>
  <c r="H91" i="12" s="1"/>
  <c r="G91" i="12"/>
  <c r="K49" i="8"/>
  <c r="G69" i="19" s="1"/>
  <c r="H93" i="12" s="1"/>
  <c r="G93" i="12"/>
  <c r="E62" i="8"/>
  <c r="G52" i="19" s="1"/>
  <c r="H76" i="12" s="1"/>
  <c r="G76" i="12"/>
  <c r="K56" i="8"/>
  <c r="G76" i="19" s="1"/>
  <c r="H100" i="12" s="1"/>
  <c r="G100" i="12"/>
  <c r="K67" i="8"/>
  <c r="G87" i="19" s="1"/>
  <c r="H111" i="12" s="1"/>
  <c r="G111" i="12"/>
  <c r="E63" i="8"/>
  <c r="G53" i="19" s="1"/>
  <c r="H77" i="12" s="1"/>
  <c r="G77" i="12"/>
  <c r="E72" i="8"/>
  <c r="G62" i="19" s="1"/>
  <c r="H86" i="12" s="1"/>
  <c r="G86" i="12"/>
  <c r="K66" i="8"/>
  <c r="G86" i="19" s="1"/>
  <c r="H110" i="12" s="1"/>
  <c r="G110" i="12"/>
  <c r="K50" i="8"/>
  <c r="G70" i="19" s="1"/>
  <c r="H94" i="12" s="1"/>
  <c r="G94" i="12"/>
  <c r="K71" i="8"/>
  <c r="G91" i="19" s="1"/>
  <c r="H115" i="12" s="1"/>
  <c r="G115" i="12"/>
  <c r="E67" i="8"/>
  <c r="G57" i="19" s="1"/>
  <c r="H81" i="12" s="1"/>
  <c r="G81" i="12"/>
  <c r="E74" i="8"/>
  <c r="G64" i="19" s="1"/>
  <c r="H88" i="12" s="1"/>
  <c r="G88" i="12"/>
  <c r="K68" i="8"/>
  <c r="G88" i="19" s="1"/>
  <c r="H112" i="12" s="1"/>
  <c r="G112" i="12"/>
  <c r="K52" i="8"/>
  <c r="G72" i="19" s="1"/>
  <c r="H96" i="12" s="1"/>
  <c r="G96" i="12"/>
  <c r="K59" i="8"/>
  <c r="G79" i="19" s="1"/>
  <c r="H103" i="12" s="1"/>
  <c r="G103" i="12"/>
  <c r="K69" i="8"/>
  <c r="G89" i="19" s="1"/>
  <c r="H113" i="12" s="1"/>
  <c r="G113" i="12"/>
  <c r="E68" i="8"/>
  <c r="G58" i="19" s="1"/>
  <c r="H82" i="12" s="1"/>
  <c r="G82" i="12"/>
  <c r="K62" i="8"/>
  <c r="G82" i="19" s="1"/>
  <c r="H106" i="12" s="1"/>
  <c r="G106" i="12"/>
  <c r="K46" i="8"/>
  <c r="G66" i="19" s="1"/>
  <c r="H90" i="12" s="1"/>
  <c r="G90" i="12"/>
  <c r="K63" i="8"/>
  <c r="G83" i="19" s="1"/>
  <c r="H107" i="12" s="1"/>
  <c r="G107" i="12"/>
  <c r="K65" i="8"/>
  <c r="G85" i="19" s="1"/>
  <c r="H109" i="12" s="1"/>
  <c r="G109" i="12"/>
  <c r="E70" i="8"/>
  <c r="G60" i="19" s="1"/>
  <c r="H84" i="12" s="1"/>
  <c r="G84" i="12"/>
  <c r="K64" i="8"/>
  <c r="G84" i="19" s="1"/>
  <c r="H108" i="12" s="1"/>
  <c r="G108" i="12"/>
  <c r="K48" i="8"/>
  <c r="G68" i="19" s="1"/>
  <c r="H92" i="12" s="1"/>
  <c r="G92" i="12"/>
  <c r="F46" i="4"/>
  <c r="D73" i="18" s="1"/>
  <c r="G71" i="12"/>
  <c r="E59" i="8"/>
  <c r="G49" i="19" s="1"/>
  <c r="H73" i="12" s="1"/>
  <c r="G73" i="12"/>
  <c r="E58" i="8"/>
  <c r="G48" i="19" s="1"/>
  <c r="H72" i="12" s="1"/>
  <c r="G72" i="12"/>
  <c r="G75" i="12"/>
  <c r="E61" i="8"/>
  <c r="G51" i="19" s="1"/>
  <c r="H75" i="12" s="1"/>
  <c r="G74" i="12"/>
  <c r="E60" i="8"/>
  <c r="G50" i="19" s="1"/>
  <c r="H74" i="12" s="1"/>
  <c r="G69" i="12"/>
  <c r="E55" i="8"/>
  <c r="G45" i="19" s="1"/>
  <c r="H69" i="12" s="1"/>
  <c r="E54" i="8"/>
  <c r="G44" i="19" s="1"/>
  <c r="H68" i="12" s="1"/>
  <c r="G68" i="12"/>
  <c r="E56" i="8"/>
  <c r="G46" i="19" s="1"/>
  <c r="H70" i="12" s="1"/>
  <c r="G70" i="12"/>
  <c r="E47" i="8"/>
  <c r="G37" i="19" s="1"/>
  <c r="H61" i="12" s="1"/>
  <c r="G61" i="12"/>
  <c r="E50" i="8"/>
  <c r="G40" i="19" s="1"/>
  <c r="H64" i="12" s="1"/>
  <c r="G64" i="12"/>
  <c r="E46" i="8"/>
  <c r="G36" i="19" s="1"/>
  <c r="H60" i="12" s="1"/>
  <c r="G60" i="12"/>
  <c r="E48" i="8"/>
  <c r="G38" i="19" s="1"/>
  <c r="H62" i="12" s="1"/>
  <c r="G62" i="12"/>
  <c r="E45" i="8"/>
  <c r="G35" i="19" s="1"/>
  <c r="H59" i="12" s="1"/>
  <c r="G59" i="12"/>
  <c r="E52" i="8"/>
  <c r="G42" i="19" s="1"/>
  <c r="H66" i="12" s="1"/>
  <c r="G66" i="12"/>
  <c r="E51" i="8"/>
  <c r="G41" i="19" s="1"/>
  <c r="H65" i="12" s="1"/>
  <c r="G65" i="12"/>
  <c r="E49" i="8"/>
  <c r="G39" i="19" s="1"/>
  <c r="H63" i="12" s="1"/>
  <c r="G63" i="12"/>
  <c r="E53" i="8"/>
  <c r="G43" i="19" s="1"/>
  <c r="H67" i="12" s="1"/>
  <c r="G67" i="12"/>
  <c r="D69" i="21" l="1"/>
  <c r="L69" i="21" s="1"/>
  <c r="H69" i="21" s="1"/>
  <c r="I69" i="21" s="1"/>
  <c r="C70" i="21"/>
  <c r="J67" i="21"/>
  <c r="K67" i="21" s="1"/>
  <c r="L68" i="21"/>
  <c r="H68" i="21" s="1"/>
  <c r="I68" i="21" s="1"/>
  <c r="E68" i="21"/>
  <c r="G68" i="21" s="1"/>
  <c r="E69" i="21" l="1"/>
  <c r="G69" i="21" s="1"/>
  <c r="J69" i="21" s="1"/>
  <c r="K69" i="21" s="1"/>
  <c r="C71" i="21"/>
  <c r="D70" i="21"/>
  <c r="L70" i="21" s="1"/>
  <c r="H70" i="21" s="1"/>
  <c r="J68" i="21"/>
  <c r="K68" i="21" s="1"/>
  <c r="E70" i="21" l="1"/>
  <c r="G70" i="21" s="1"/>
  <c r="I70" i="21"/>
  <c r="C72" i="21"/>
  <c r="D71" i="21"/>
  <c r="L71" i="21" s="1"/>
  <c r="H71" i="21" s="1"/>
  <c r="I71" i="21" l="1"/>
  <c r="E71" i="21"/>
  <c r="G71" i="21" s="1"/>
  <c r="C73" i="21"/>
  <c r="D72" i="21"/>
  <c r="J70" i="21"/>
  <c r="K70" i="21" s="1"/>
  <c r="J71" i="21" l="1"/>
  <c r="K71" i="21" s="1"/>
  <c r="D73" i="21"/>
  <c r="L73" i="21" s="1"/>
  <c r="H73" i="21" s="1"/>
  <c r="I73" i="21" s="1"/>
  <c r="L72" i="21"/>
  <c r="E72" i="21"/>
  <c r="G72" i="21" s="1"/>
  <c r="E73" i="21" l="1"/>
  <c r="G73" i="21" s="1"/>
  <c r="J73" i="21" s="1"/>
  <c r="K73" i="21" s="1"/>
  <c r="H72" i="21"/>
  <c r="I72" i="21" l="1"/>
  <c r="M63" i="21" s="1"/>
  <c r="N63" i="21" s="1"/>
  <c r="M64" i="21" l="1"/>
  <c r="N64" i="21" s="1"/>
  <c r="M71" i="21"/>
  <c r="N71" i="21" s="1"/>
  <c r="M70" i="21"/>
  <c r="N70" i="21" s="1"/>
  <c r="M60" i="21"/>
  <c r="N60" i="21" s="1"/>
  <c r="M57" i="21"/>
  <c r="N57" i="21" s="1"/>
  <c r="M55" i="21"/>
  <c r="N55" i="21" s="1"/>
  <c r="M61" i="21"/>
  <c r="N61" i="21" s="1"/>
  <c r="M56" i="21"/>
  <c r="N56" i="21" s="1"/>
  <c r="M62" i="21"/>
  <c r="N62" i="21" s="1"/>
  <c r="M73" i="21"/>
  <c r="N73" i="21" s="1"/>
  <c r="M58" i="21"/>
  <c r="N58" i="21" s="1"/>
  <c r="M54" i="21"/>
  <c r="N54" i="21" s="1"/>
  <c r="J72" i="21"/>
  <c r="K72" i="21" s="1"/>
  <c r="M59" i="21"/>
  <c r="N59" i="21" s="1"/>
  <c r="M53" i="21"/>
  <c r="N53" i="21" s="1"/>
  <c r="M65" i="21"/>
  <c r="N65" i="21" s="1"/>
  <c r="M72" i="21"/>
  <c r="N72" i="21" s="1"/>
  <c r="M67" i="21"/>
  <c r="N67" i="21" s="1"/>
  <c r="M66" i="21"/>
  <c r="N66" i="21" s="1"/>
  <c r="M68" i="21"/>
  <c r="N68" i="21" s="1"/>
  <c r="M69" i="21"/>
  <c r="N69" i="21" s="1"/>
  <c r="M52" i="21"/>
  <c r="N52" i="21" s="1"/>
</calcChain>
</file>

<file path=xl/sharedStrings.xml><?xml version="1.0" encoding="utf-8"?>
<sst xmlns="http://schemas.openxmlformats.org/spreadsheetml/2006/main" count="621" uniqueCount="309">
  <si>
    <t>H =</t>
  </si>
  <si>
    <t>L =</t>
  </si>
  <si>
    <t>Donde:</t>
  </si>
  <si>
    <r>
      <t>ϕ</t>
    </r>
    <r>
      <rPr>
        <vertAlign val="subscript"/>
        <sz val="11"/>
        <color theme="1"/>
        <rFont val="Calibri"/>
        <family val="2"/>
      </rPr>
      <t>c</t>
    </r>
    <r>
      <rPr>
        <sz val="11"/>
        <color theme="1"/>
        <rFont val="Calibri"/>
        <family val="2"/>
      </rPr>
      <t xml:space="preserve"> =</t>
    </r>
  </si>
  <si>
    <r>
      <t>ϕ</t>
    </r>
    <r>
      <rPr>
        <vertAlign val="subscript"/>
        <sz val="11"/>
        <color theme="1"/>
        <rFont val="Calibri"/>
        <family val="2"/>
      </rPr>
      <t>r</t>
    </r>
    <r>
      <rPr>
        <sz val="11"/>
        <color theme="1"/>
        <rFont val="Calibri"/>
        <family val="2"/>
      </rPr>
      <t xml:space="preserve"> =</t>
    </r>
  </si>
  <si>
    <r>
      <t>KN/m</t>
    </r>
    <r>
      <rPr>
        <vertAlign val="superscript"/>
        <sz val="11"/>
        <color theme="1"/>
        <rFont val="Calibri"/>
        <family val="2"/>
        <scheme val="minor"/>
      </rPr>
      <t>3</t>
    </r>
  </si>
  <si>
    <t>°</t>
  </si>
  <si>
    <t>m</t>
  </si>
  <si>
    <t>KN/m</t>
  </si>
  <si>
    <t>m.</t>
  </si>
  <si>
    <t>METODOLOGÍA PARA DISEÑOS DE MUROS MECANICAMENTE ESTABILIZADOS</t>
  </si>
  <si>
    <t>MUROS CON RELLENOS HORIZONTALES</t>
  </si>
  <si>
    <t xml:space="preserve">F1 = </t>
  </si>
  <si>
    <t xml:space="preserve">Ka = </t>
  </si>
  <si>
    <t>Magnitud de la Fuerza F1 :</t>
  </si>
  <si>
    <t>Ubicación de la Fuerza F1:</t>
  </si>
  <si>
    <t>Magnitud de la Fuerza F2 :</t>
  </si>
  <si>
    <t>Ubicación de la Fuerza F2:</t>
  </si>
  <si>
    <r>
      <t>h</t>
    </r>
    <r>
      <rPr>
        <b/>
        <vertAlign val="subscript"/>
        <sz val="11"/>
        <color theme="1"/>
        <rFont val="Calibri"/>
        <family val="2"/>
        <scheme val="minor"/>
      </rPr>
      <t>1</t>
    </r>
    <r>
      <rPr>
        <b/>
        <sz val="11"/>
        <color theme="1"/>
        <rFont val="Calibri"/>
        <family val="2"/>
        <scheme val="minor"/>
      </rPr>
      <t xml:space="preserve"> = </t>
    </r>
  </si>
  <si>
    <r>
      <t>h</t>
    </r>
    <r>
      <rPr>
        <b/>
        <vertAlign val="subscript"/>
        <sz val="11"/>
        <color theme="1"/>
        <rFont val="Calibri"/>
        <family val="2"/>
        <scheme val="minor"/>
      </rPr>
      <t>2</t>
    </r>
    <r>
      <rPr>
        <b/>
        <sz val="11"/>
        <color theme="1"/>
        <rFont val="Calibri"/>
        <family val="2"/>
        <scheme val="minor"/>
      </rPr>
      <t xml:space="preserve"> = </t>
    </r>
  </si>
  <si>
    <t xml:space="preserve">A = </t>
  </si>
  <si>
    <t>Am =</t>
  </si>
  <si>
    <t>Por lo tanto:</t>
  </si>
  <si>
    <r>
      <t>P</t>
    </r>
    <r>
      <rPr>
        <b/>
        <vertAlign val="subscript"/>
        <sz val="11"/>
        <color theme="1"/>
        <rFont val="Calibri"/>
        <family val="2"/>
        <scheme val="minor"/>
      </rPr>
      <t>IR</t>
    </r>
    <r>
      <rPr>
        <b/>
        <sz val="11"/>
        <color theme="1"/>
        <rFont val="Calibri"/>
        <family val="2"/>
        <scheme val="minor"/>
      </rPr>
      <t xml:space="preserve"> = </t>
    </r>
  </si>
  <si>
    <r>
      <t>Magnitud de la fuerza de inercia horizontal P</t>
    </r>
    <r>
      <rPr>
        <vertAlign val="subscript"/>
        <sz val="11"/>
        <color theme="1"/>
        <rFont val="Calibri"/>
        <family val="2"/>
        <scheme val="minor"/>
      </rPr>
      <t>IR:</t>
    </r>
  </si>
  <si>
    <r>
      <t>hp</t>
    </r>
    <r>
      <rPr>
        <b/>
        <vertAlign val="subscript"/>
        <sz val="11"/>
        <color theme="1"/>
        <rFont val="Calibri"/>
        <family val="2"/>
        <scheme val="minor"/>
      </rPr>
      <t>IR</t>
    </r>
    <r>
      <rPr>
        <b/>
        <sz val="11"/>
        <color theme="1"/>
        <rFont val="Calibri"/>
        <family val="2"/>
        <scheme val="minor"/>
      </rPr>
      <t xml:space="preserve"> = </t>
    </r>
  </si>
  <si>
    <r>
      <t>Ubicación de la fuerza de inercia horizontal P</t>
    </r>
    <r>
      <rPr>
        <vertAlign val="subscript"/>
        <sz val="11"/>
        <color theme="1"/>
        <rFont val="Calibri"/>
        <family val="2"/>
        <scheme val="minor"/>
      </rPr>
      <t>IR:</t>
    </r>
  </si>
  <si>
    <t>b) Magnitud y ubicación de la fuerza provocada por el suelo retenido.</t>
  </si>
  <si>
    <t>d) Magnitud y ubicación de las fuerzas provocadas por la acción de un sismo.</t>
  </si>
  <si>
    <t>A = Aceleración Máxima de sismo.</t>
  </si>
  <si>
    <r>
      <t>50% P</t>
    </r>
    <r>
      <rPr>
        <b/>
        <vertAlign val="subscript"/>
        <sz val="11"/>
        <color theme="1"/>
        <rFont val="Calibri"/>
        <family val="2"/>
        <scheme val="minor"/>
      </rPr>
      <t>AE</t>
    </r>
    <r>
      <rPr>
        <b/>
        <sz val="11"/>
        <color theme="1"/>
        <rFont val="Calibri"/>
        <family val="2"/>
        <scheme val="minor"/>
      </rPr>
      <t xml:space="preserve"> =</t>
    </r>
  </si>
  <si>
    <r>
      <t>hp</t>
    </r>
    <r>
      <rPr>
        <b/>
        <vertAlign val="subscript"/>
        <sz val="11"/>
        <color theme="1"/>
        <rFont val="Calibri"/>
        <family val="2"/>
        <scheme val="minor"/>
      </rPr>
      <t>AE</t>
    </r>
    <r>
      <rPr>
        <b/>
        <sz val="11"/>
        <color theme="1"/>
        <rFont val="Calibri"/>
        <family val="2"/>
        <scheme val="minor"/>
      </rPr>
      <t xml:space="preserve"> =</t>
    </r>
  </si>
  <si>
    <t>FUERZAS HORIZONTALES</t>
  </si>
  <si>
    <t>FUERZAS VERTICALES</t>
  </si>
  <si>
    <t>RESUMEN:</t>
  </si>
  <si>
    <t>Empuje de relleno retenido</t>
  </si>
  <si>
    <t>Fuerza provocada por:</t>
  </si>
  <si>
    <t>Sobrecarga</t>
  </si>
  <si>
    <t>Sismo (Fuerza inercial horizontal)</t>
  </si>
  <si>
    <t>Magnitud (KN/m)</t>
  </si>
  <si>
    <t>Ubicación (m)</t>
  </si>
  <si>
    <t xml:space="preserve">F2 = </t>
  </si>
  <si>
    <r>
      <t>V</t>
    </r>
    <r>
      <rPr>
        <b/>
        <vertAlign val="subscript"/>
        <sz val="11"/>
        <color theme="1"/>
        <rFont val="Calibri"/>
        <family val="2"/>
        <scheme val="minor"/>
      </rPr>
      <t>1</t>
    </r>
    <r>
      <rPr>
        <b/>
        <sz val="11"/>
        <color theme="1"/>
        <rFont val="Calibri"/>
        <family val="2"/>
        <scheme val="minor"/>
      </rPr>
      <t xml:space="preserve"> = </t>
    </r>
  </si>
  <si>
    <t>Ubicación de la fuerza vertical V1</t>
  </si>
  <si>
    <r>
      <t>lv</t>
    </r>
    <r>
      <rPr>
        <b/>
        <vertAlign val="subscript"/>
        <sz val="11"/>
        <color theme="1"/>
        <rFont val="Calibri"/>
        <family val="2"/>
        <scheme val="minor"/>
      </rPr>
      <t>1</t>
    </r>
    <r>
      <rPr>
        <b/>
        <sz val="11"/>
        <color theme="1"/>
        <rFont val="Calibri"/>
        <family val="2"/>
        <scheme val="minor"/>
      </rPr>
      <t xml:space="preserve"> = </t>
    </r>
  </si>
  <si>
    <t>a) Magnitud y ubicación de la fuerza vertical provocada por el suelo reforzado.</t>
  </si>
  <si>
    <t>Magnitud de la fuerza vertical V2</t>
  </si>
  <si>
    <t>Ubicación de la fuerza vertical V2</t>
  </si>
  <si>
    <r>
      <t>V</t>
    </r>
    <r>
      <rPr>
        <b/>
        <vertAlign val="subscript"/>
        <sz val="11"/>
        <color theme="1"/>
        <rFont val="Calibri"/>
        <family val="2"/>
        <scheme val="minor"/>
      </rPr>
      <t>2</t>
    </r>
    <r>
      <rPr>
        <b/>
        <sz val="11"/>
        <color theme="1"/>
        <rFont val="Calibri"/>
        <family val="2"/>
        <scheme val="minor"/>
      </rPr>
      <t xml:space="preserve"> = </t>
    </r>
  </si>
  <si>
    <r>
      <t>lv</t>
    </r>
    <r>
      <rPr>
        <b/>
        <vertAlign val="subscript"/>
        <sz val="11"/>
        <color theme="1"/>
        <rFont val="Calibri"/>
        <family val="2"/>
        <scheme val="minor"/>
      </rPr>
      <t>2</t>
    </r>
    <r>
      <rPr>
        <b/>
        <sz val="11"/>
        <color theme="1"/>
        <rFont val="Calibri"/>
        <family val="2"/>
        <scheme val="minor"/>
      </rPr>
      <t xml:space="preserve"> = </t>
    </r>
  </si>
  <si>
    <t>c) Magnitud y ubicación de la fuerza vertical Resultante.</t>
  </si>
  <si>
    <t>Magnitud de la fuerza vertical R</t>
  </si>
  <si>
    <t>Ubicación de la fuerza Vertical R</t>
  </si>
  <si>
    <t>R =</t>
  </si>
  <si>
    <r>
      <t>Ubicación del empuje sísmico P</t>
    </r>
    <r>
      <rPr>
        <vertAlign val="subscript"/>
        <sz val="11"/>
        <color theme="1"/>
        <rFont val="Calibri"/>
        <family val="2"/>
        <scheme val="minor"/>
      </rPr>
      <t>AE</t>
    </r>
    <r>
      <rPr>
        <sz val="11"/>
        <color theme="1"/>
        <rFont val="Calibri"/>
        <family val="2"/>
        <scheme val="minor"/>
      </rPr>
      <t xml:space="preserve"> </t>
    </r>
  </si>
  <si>
    <t>Sismo (Empuje sísmico al 50% de su magnitud)</t>
  </si>
  <si>
    <t>Se necesita encontrar la excentricidad de la fuerza resultante:</t>
  </si>
  <si>
    <t>Por lo que:</t>
  </si>
  <si>
    <r>
      <t>M</t>
    </r>
    <r>
      <rPr>
        <vertAlign val="subscript"/>
        <sz val="11"/>
        <color theme="1"/>
        <rFont val="Calibri"/>
        <family val="2"/>
        <scheme val="minor"/>
      </rPr>
      <t>RAP</t>
    </r>
    <r>
      <rPr>
        <sz val="11"/>
        <color theme="1"/>
        <rFont val="Calibri"/>
        <family val="2"/>
        <scheme val="minor"/>
      </rPr>
      <t xml:space="preserve"> =</t>
    </r>
  </si>
  <si>
    <r>
      <t xml:space="preserve">KN/m </t>
    </r>
    <r>
      <rPr>
        <sz val="11"/>
        <color theme="1"/>
        <rFont val="Calibri"/>
        <family val="2"/>
      </rPr>
      <t>·</t>
    </r>
    <r>
      <rPr>
        <sz val="9.9"/>
        <color theme="1"/>
        <rFont val="Calibri"/>
        <family val="2"/>
      </rPr>
      <t xml:space="preserve"> m</t>
    </r>
  </si>
  <si>
    <r>
      <t>M</t>
    </r>
    <r>
      <rPr>
        <vertAlign val="subscript"/>
        <sz val="11"/>
        <color theme="1"/>
        <rFont val="Calibri"/>
        <family val="2"/>
        <scheme val="minor"/>
      </rPr>
      <t xml:space="preserve">v </t>
    </r>
    <r>
      <rPr>
        <sz val="11"/>
        <color theme="1"/>
        <rFont val="Calibri"/>
        <family val="2"/>
        <scheme val="minor"/>
      </rPr>
      <t>=</t>
    </r>
  </si>
  <si>
    <t>Entonces:</t>
  </si>
  <si>
    <t xml:space="preserve">e = </t>
  </si>
  <si>
    <t>si:</t>
  </si>
  <si>
    <t>ANÁLISIS EXTERNO DE LA ESTRUCTURA</t>
  </si>
  <si>
    <t>REVISIÓN DE FACTORES DE SEGURIDAD</t>
  </si>
  <si>
    <t>Pr =</t>
  </si>
  <si>
    <r>
      <rPr>
        <sz val="11"/>
        <color theme="1"/>
        <rFont val="Symbol"/>
        <family val="1"/>
        <charset val="2"/>
      </rPr>
      <t>r</t>
    </r>
    <r>
      <rPr>
        <sz val="11"/>
        <color theme="1"/>
        <rFont val="Calibri"/>
        <family val="2"/>
      </rPr>
      <t xml:space="preserve"> =</t>
    </r>
  </si>
  <si>
    <t>μ=</t>
  </si>
  <si>
    <t>entonces</t>
  </si>
  <si>
    <t>Y</t>
  </si>
  <si>
    <t xml:space="preserve">Pd = </t>
  </si>
  <si>
    <r>
      <t>M</t>
    </r>
    <r>
      <rPr>
        <vertAlign val="subscript"/>
        <sz val="11"/>
        <color theme="1"/>
        <rFont val="Calibri"/>
        <family val="2"/>
        <scheme val="minor"/>
      </rPr>
      <t>R</t>
    </r>
    <r>
      <rPr>
        <sz val="11"/>
        <color theme="1"/>
        <rFont val="Calibri"/>
        <family val="2"/>
        <scheme val="minor"/>
      </rPr>
      <t xml:space="preserve"> = </t>
    </r>
  </si>
  <si>
    <t>CARGAS ADMISIBLES</t>
  </si>
  <si>
    <r>
      <t>F.S.</t>
    </r>
    <r>
      <rPr>
        <b/>
        <vertAlign val="subscript"/>
        <sz val="11"/>
        <color theme="1"/>
        <rFont val="Calibri"/>
        <family val="2"/>
        <scheme val="minor"/>
      </rPr>
      <t xml:space="preserve">V </t>
    </r>
    <r>
      <rPr>
        <b/>
        <sz val="11"/>
        <color theme="1"/>
        <rFont val="Calibri"/>
        <family val="2"/>
        <scheme val="minor"/>
      </rPr>
      <t>=</t>
    </r>
  </si>
  <si>
    <r>
      <t>F.S.</t>
    </r>
    <r>
      <rPr>
        <b/>
        <vertAlign val="subscript"/>
        <sz val="11"/>
        <color theme="1"/>
        <rFont val="Calibri"/>
        <family val="2"/>
        <scheme val="minor"/>
      </rPr>
      <t>des</t>
    </r>
    <r>
      <rPr>
        <b/>
        <sz val="11"/>
        <color theme="1"/>
        <rFont val="Calibri"/>
        <family val="2"/>
        <scheme val="minor"/>
      </rPr>
      <t xml:space="preserve"> = </t>
    </r>
  </si>
  <si>
    <t>si =</t>
  </si>
  <si>
    <t>Tenemos los factores de capacidad de carga de:</t>
  </si>
  <si>
    <r>
      <t>N</t>
    </r>
    <r>
      <rPr>
        <vertAlign val="subscript"/>
        <sz val="11"/>
        <color theme="1"/>
        <rFont val="Symbol"/>
        <family val="1"/>
        <charset val="2"/>
      </rPr>
      <t>g</t>
    </r>
    <r>
      <rPr>
        <sz val="11"/>
        <color theme="1"/>
        <rFont val="Calibri"/>
        <family val="2"/>
      </rPr>
      <t xml:space="preserve"> =</t>
    </r>
  </si>
  <si>
    <r>
      <t>N</t>
    </r>
    <r>
      <rPr>
        <vertAlign val="subscript"/>
        <sz val="11"/>
        <color theme="1"/>
        <rFont val="Calibri"/>
        <family val="2"/>
        <scheme val="minor"/>
      </rPr>
      <t>q</t>
    </r>
    <r>
      <rPr>
        <sz val="11"/>
        <color theme="1"/>
        <rFont val="Calibri"/>
        <family val="2"/>
        <scheme val="minor"/>
      </rPr>
      <t xml:space="preserve"> = </t>
    </r>
  </si>
  <si>
    <r>
      <t>N</t>
    </r>
    <r>
      <rPr>
        <vertAlign val="subscript"/>
        <sz val="11"/>
        <color theme="1"/>
        <rFont val="Calibri"/>
        <family val="2"/>
        <scheme val="minor"/>
      </rPr>
      <t>c</t>
    </r>
    <r>
      <rPr>
        <sz val="11"/>
        <color theme="1"/>
        <rFont val="Calibri"/>
        <family val="2"/>
        <scheme val="minor"/>
      </rPr>
      <t xml:space="preserve"> =</t>
    </r>
  </si>
  <si>
    <t>j</t>
  </si>
  <si>
    <r>
      <t>N</t>
    </r>
    <r>
      <rPr>
        <vertAlign val="subscript"/>
        <sz val="11"/>
        <color theme="1"/>
        <rFont val="Calibri"/>
        <family val="2"/>
        <scheme val="minor"/>
      </rPr>
      <t>c</t>
    </r>
  </si>
  <si>
    <r>
      <t>N</t>
    </r>
    <r>
      <rPr>
        <vertAlign val="subscript"/>
        <sz val="11"/>
        <color theme="1"/>
        <rFont val="Calibri"/>
        <family val="2"/>
        <scheme val="minor"/>
      </rPr>
      <t>q</t>
    </r>
  </si>
  <si>
    <r>
      <t>N</t>
    </r>
    <r>
      <rPr>
        <vertAlign val="subscript"/>
        <sz val="11"/>
        <color theme="1"/>
        <rFont val="Symbol"/>
        <family val="1"/>
        <charset val="2"/>
      </rPr>
      <t>g</t>
    </r>
  </si>
  <si>
    <t>FACTORES DE CAPACIDAD DE CARGA</t>
  </si>
  <si>
    <t>c) Carga admisible.</t>
  </si>
  <si>
    <t xml:space="preserve">F.S. = </t>
  </si>
  <si>
    <r>
      <t>q</t>
    </r>
    <r>
      <rPr>
        <vertAlign val="subscript"/>
        <sz val="11"/>
        <color theme="1"/>
        <rFont val="Calibri"/>
        <family val="2"/>
        <scheme val="minor"/>
      </rPr>
      <t>a</t>
    </r>
    <r>
      <rPr>
        <sz val="11"/>
        <color theme="1"/>
        <rFont val="Calibri"/>
        <family val="2"/>
        <scheme val="minor"/>
      </rPr>
      <t xml:space="preserve"> = </t>
    </r>
  </si>
  <si>
    <r>
      <t>σ</t>
    </r>
    <r>
      <rPr>
        <b/>
        <vertAlign val="subscript"/>
        <sz val="11"/>
        <color theme="1"/>
        <rFont val="Calibri"/>
        <family val="2"/>
      </rPr>
      <t>v</t>
    </r>
    <r>
      <rPr>
        <b/>
        <sz val="11"/>
        <color theme="1"/>
        <rFont val="Calibri"/>
        <family val="2"/>
      </rPr>
      <t xml:space="preserve"> = </t>
    </r>
  </si>
  <si>
    <r>
      <t>KN/m</t>
    </r>
    <r>
      <rPr>
        <b/>
        <vertAlign val="superscript"/>
        <sz val="11"/>
        <color theme="1"/>
        <rFont val="Calibri"/>
        <family val="2"/>
        <scheme val="minor"/>
      </rPr>
      <t>2</t>
    </r>
  </si>
  <si>
    <r>
      <t>q</t>
    </r>
    <r>
      <rPr>
        <b/>
        <vertAlign val="subscript"/>
        <sz val="11"/>
        <color theme="1"/>
        <rFont val="Calibri"/>
        <family val="2"/>
        <scheme val="minor"/>
      </rPr>
      <t>ult</t>
    </r>
    <r>
      <rPr>
        <b/>
        <sz val="11"/>
        <color theme="1"/>
        <rFont val="Calibri"/>
        <family val="2"/>
        <scheme val="minor"/>
      </rPr>
      <t xml:space="preserve"> =</t>
    </r>
  </si>
  <si>
    <t>ANÁLISIS INTERNO DE LA ESTRUCTURA</t>
  </si>
  <si>
    <t>Condición</t>
  </si>
  <si>
    <t>a) Revisión del factor de seguridad por deslizamiento del muro.</t>
  </si>
  <si>
    <t>a) Esfuerzo máximo vertical.</t>
  </si>
  <si>
    <t>Se comprueba la siguiente relación:</t>
  </si>
  <si>
    <t>Coef. De fricción de la interacción Suelo/Refuerzo, dado por el fabricante del material Geosintético que se va a utilizar</t>
  </si>
  <si>
    <t>De acuerdo a la gráfica mostrada a la derecha, se tiene que:</t>
  </si>
  <si>
    <r>
      <t>σ</t>
    </r>
    <r>
      <rPr>
        <b/>
        <vertAlign val="subscript"/>
        <sz val="11"/>
        <color theme="1"/>
        <rFont val="Calibri"/>
        <family val="2"/>
      </rPr>
      <t>H</t>
    </r>
    <r>
      <rPr>
        <b/>
        <sz val="11"/>
        <color theme="1"/>
        <rFont val="Calibri"/>
        <family val="2"/>
      </rPr>
      <t xml:space="preserve"> =</t>
    </r>
  </si>
  <si>
    <t xml:space="preserve">q(Carga distribuida) = </t>
  </si>
  <si>
    <t>DATOS:</t>
  </si>
  <si>
    <t>Cf =</t>
  </si>
  <si>
    <t>bf =</t>
  </si>
  <si>
    <t>e´ =</t>
  </si>
  <si>
    <t>Ph1 =</t>
  </si>
  <si>
    <t xml:space="preserve">a = </t>
  </si>
  <si>
    <t>q =</t>
  </si>
  <si>
    <t>F1 =</t>
  </si>
  <si>
    <t>F2 =</t>
  </si>
  <si>
    <t xml:space="preserve">li = </t>
  </si>
  <si>
    <r>
      <t xml:space="preserve">KN/m </t>
    </r>
    <r>
      <rPr>
        <b/>
        <sz val="12"/>
        <color theme="1"/>
        <rFont val="Calibri"/>
        <family val="2"/>
      </rPr>
      <t>· m</t>
    </r>
  </si>
  <si>
    <t>Ka =</t>
  </si>
  <si>
    <t>ϕ =</t>
  </si>
  <si>
    <t>Coeficiente de friccion de el suelo que retiene la estructura especial.</t>
  </si>
  <si>
    <r>
      <t xml:space="preserve">KN/m </t>
    </r>
    <r>
      <rPr>
        <sz val="12"/>
        <color theme="1"/>
        <rFont val="Calibri"/>
        <family val="2"/>
      </rPr>
      <t>· m</t>
    </r>
  </si>
  <si>
    <r>
      <t>KN/m</t>
    </r>
    <r>
      <rPr>
        <vertAlign val="superscript"/>
        <sz val="11"/>
        <color theme="1"/>
        <rFont val="Calibri"/>
        <family val="2"/>
        <scheme val="minor"/>
      </rPr>
      <t>2</t>
    </r>
  </si>
  <si>
    <t xml:space="preserve">g = </t>
  </si>
  <si>
    <t>Peso especifico del relleno que retiene la estructura especial.</t>
  </si>
  <si>
    <t xml:space="preserve">Pv1 = </t>
  </si>
  <si>
    <r>
      <t>μ es la tangente del mínimo de los coeficientes de fricción dados anteriormente, en caso de que no se tenga el valor de "</t>
    </r>
    <r>
      <rPr>
        <sz val="11"/>
        <color theme="1"/>
        <rFont val="Symbol"/>
        <family val="1"/>
        <charset val="2"/>
      </rPr>
      <t>r</t>
    </r>
    <r>
      <rPr>
        <sz val="9.9"/>
        <color theme="1"/>
        <rFont val="Calibri"/>
        <family val="2"/>
      </rPr>
      <t xml:space="preserve">", </t>
    </r>
    <r>
      <rPr>
        <sz val="11"/>
        <color theme="1"/>
        <rFont val="Calibri"/>
        <family val="2"/>
      </rPr>
      <t xml:space="preserve">se compara con los otros dos valores. </t>
    </r>
  </si>
  <si>
    <t>Se propone el espaciamiento de =</t>
  </si>
  <si>
    <t>Para el primer y ultimo refuerzo tenemos un ancho tributario de:</t>
  </si>
  <si>
    <t>Para el restante de los refuerzos tenemos:</t>
  </si>
  <si>
    <t>Fa1@primer refuerzo =</t>
  </si>
  <si>
    <t>Fa2@primer refuerzo =</t>
  </si>
  <si>
    <t>Por lo que el Factor de seguridad de deslizamiento en el primer refuerzo es:</t>
  </si>
  <si>
    <r>
      <t>F.S.</t>
    </r>
    <r>
      <rPr>
        <vertAlign val="subscript"/>
        <sz val="11"/>
        <color theme="1"/>
        <rFont val="Calibri"/>
        <family val="2"/>
        <scheme val="minor"/>
      </rPr>
      <t>des@primer refuerzo</t>
    </r>
    <r>
      <rPr>
        <sz val="11"/>
        <color theme="1"/>
        <rFont val="Calibri"/>
        <family val="2"/>
        <scheme val="minor"/>
      </rPr>
      <t xml:space="preserve"> =</t>
    </r>
  </si>
  <si>
    <t>Capa No</t>
  </si>
  <si>
    <t>Numero de capas de acuerdo a el espaciamiento propuesto:</t>
  </si>
  <si>
    <t>Sv =</t>
  </si>
  <si>
    <t>Zi (m)</t>
  </si>
  <si>
    <t>Sv (m)</t>
  </si>
  <si>
    <t>Tmax (KN/m)</t>
  </si>
  <si>
    <t>DISEÑO</t>
  </si>
  <si>
    <t>LONGITUD REQUERIDA DE GEOSINTETICO</t>
  </si>
  <si>
    <t>C =</t>
  </si>
  <si>
    <r>
      <t>C</t>
    </r>
    <r>
      <rPr>
        <vertAlign val="subscript"/>
        <sz val="11"/>
        <color theme="1"/>
        <rFont val="Calibri"/>
        <family val="2"/>
        <scheme val="minor"/>
      </rPr>
      <t>i</t>
    </r>
    <r>
      <rPr>
        <sz val="11"/>
        <color theme="1"/>
        <rFont val="Calibri"/>
        <family val="2"/>
        <scheme val="minor"/>
      </rPr>
      <t xml:space="preserve"> =</t>
    </r>
  </si>
  <si>
    <t>Zi =</t>
  </si>
  <si>
    <t>Profundidad a la que se encuentra el refuerzo</t>
  </si>
  <si>
    <t xml:space="preserve">si: </t>
  </si>
  <si>
    <t>b =</t>
  </si>
  <si>
    <t>Sh =</t>
  </si>
  <si>
    <t>Rc =</t>
  </si>
  <si>
    <t>Capa No.</t>
  </si>
  <si>
    <t>α =</t>
  </si>
  <si>
    <t>Le (m)</t>
  </si>
  <si>
    <t>Le (final,m)</t>
  </si>
  <si>
    <t>La (m)</t>
  </si>
  <si>
    <t>NOTA:</t>
  </si>
  <si>
    <t>SI LA LONGITUD PROPUESTA AL INICIO DEL ANALISIS DE LA ESTRUCTURA ES MAYOR QUE LA RESULTANTE EN CADA UNA DE LAS CAPAS DADAS EN LA TABLA ANTERIOR, ENTONCES, DE ACUERDO A LAS CONDICIONES DE LA ESTRUCTURA Y DE LOS FACTORES EXTERNOS, SE TOMA UN CRITERIO, TOMANDO EN CUENTA QUE SE PUEDE USAR EN TODA LA ALTURA DEL MURO LA MISMA LONGITUD DE REFUERZO, O TOMAR LAS LONGITUDES DADAS EN LA TABLA.</t>
  </si>
  <si>
    <t>LT (m)</t>
  </si>
  <si>
    <t>DISEÑO POR SISMO</t>
  </si>
  <si>
    <t>c) Longitud requerida por cada capa de refuerzo para su funcionamiento adecuado.</t>
  </si>
  <si>
    <t>donde:</t>
  </si>
  <si>
    <t xml:space="preserve">Am = </t>
  </si>
  <si>
    <r>
      <t>W</t>
    </r>
    <r>
      <rPr>
        <vertAlign val="subscript"/>
        <sz val="11"/>
        <color theme="1"/>
        <rFont val="Calibri"/>
        <family val="2"/>
        <scheme val="minor"/>
      </rPr>
      <t>A</t>
    </r>
    <r>
      <rPr>
        <sz val="11"/>
        <color theme="1"/>
        <rFont val="Calibri"/>
        <family val="2"/>
        <scheme val="minor"/>
      </rPr>
      <t xml:space="preserve"> =</t>
    </r>
  </si>
  <si>
    <t>a) Fuerza inercial interna, debido al peso del relleno y la aceleración sísmica dentro de la zona activa.</t>
  </si>
  <si>
    <t>b) Incremento de la tensión máxima por la acción de un sismo.</t>
  </si>
  <si>
    <t>Le</t>
  </si>
  <si>
    <t>Tmd</t>
  </si>
  <si>
    <t>Ttotal</t>
  </si>
  <si>
    <t>Tmax</t>
  </si>
  <si>
    <t>e) Revisión de deslizamiento de la primera capa de refuerzo a partir de la parte inferior del muro.</t>
  </si>
  <si>
    <t>f) Tensión máxima por capa de refuerzo.</t>
  </si>
  <si>
    <t>Nota: se requiere el coeficiente de activo de presión del suelo retenido por lo que lo obtenemos con la siguiente expresión:</t>
  </si>
  <si>
    <t xml:space="preserve">c) Magnitud y ubicación de la fuerza provocada por la sobrecarga "q" </t>
  </si>
  <si>
    <r>
      <t>Magnitud de la fuerza vertical V</t>
    </r>
    <r>
      <rPr>
        <vertAlign val="subscript"/>
        <sz val="11"/>
        <color theme="1"/>
        <rFont val="Calibri"/>
        <family val="2"/>
        <scheme val="minor"/>
      </rPr>
      <t xml:space="preserve">1 </t>
    </r>
    <r>
      <rPr>
        <sz val="11"/>
        <color theme="1"/>
        <rFont val="Calibri"/>
        <family val="2"/>
        <scheme val="minor"/>
      </rPr>
      <t>:</t>
    </r>
  </si>
  <si>
    <t>b) Magnitud y ubicación de la fuerza vertical provocada la sobrecarga "q"</t>
  </si>
  <si>
    <t>d) Espaciamiento entre cada capa de refuerzo.</t>
  </si>
  <si>
    <t xml:space="preserve">a) Longitud necesaria de empotramiento para evitar la falla por extracción </t>
  </si>
  <si>
    <t>b) Longitud necesaria en la zona activa del suelo reforzado, para evitar la falla por elongación o ruptura.</t>
  </si>
  <si>
    <t>TENSION TOTAL GENERADA POR LA ACCIÓN DE UN SISMO</t>
  </si>
  <si>
    <r>
      <t>Magnitud del empuje sísmico P</t>
    </r>
    <r>
      <rPr>
        <vertAlign val="subscript"/>
        <sz val="11"/>
        <color theme="1"/>
        <rFont val="Calibri"/>
        <family val="2"/>
        <scheme val="minor"/>
      </rPr>
      <t>AE</t>
    </r>
    <r>
      <rPr>
        <sz val="11"/>
        <color theme="1"/>
        <rFont val="Calibri"/>
        <family val="2"/>
        <scheme val="minor"/>
      </rPr>
      <t xml:space="preserve"> al 50% de su valor:</t>
    </r>
  </si>
  <si>
    <t>Capas de geosintético</t>
  </si>
  <si>
    <t>b) Carga última.</t>
  </si>
  <si>
    <t>Ubicación de F1 con respecto a la parte superior del muro =</t>
  </si>
  <si>
    <t>Ubicación de F2 con respecto a la parte superior del muro =</t>
  </si>
  <si>
    <r>
      <t>Δσ</t>
    </r>
    <r>
      <rPr>
        <b/>
        <vertAlign val="subscript"/>
        <sz val="16"/>
        <rFont val="Calibri"/>
        <family val="2"/>
      </rPr>
      <t>Hmax</t>
    </r>
    <r>
      <rPr>
        <b/>
        <sz val="16"/>
        <rFont val="Calibri"/>
        <family val="2"/>
      </rPr>
      <t xml:space="preserve"> =</t>
    </r>
  </si>
  <si>
    <r>
      <t>KN/m</t>
    </r>
    <r>
      <rPr>
        <b/>
        <vertAlign val="superscript"/>
        <sz val="16"/>
        <rFont val="Calibri"/>
        <family val="2"/>
        <scheme val="minor"/>
      </rPr>
      <t>2</t>
    </r>
  </si>
  <si>
    <t>c) Propiedades de los suelos.</t>
  </si>
  <si>
    <r>
      <rPr>
        <b/>
        <sz val="12"/>
        <color theme="1"/>
        <rFont val="Symbol"/>
        <family val="1"/>
        <charset val="2"/>
      </rPr>
      <t>g</t>
    </r>
    <r>
      <rPr>
        <b/>
        <vertAlign val="subscript"/>
        <sz val="12"/>
        <color theme="1"/>
        <rFont val="Calibri"/>
        <family val="2"/>
      </rPr>
      <t>c</t>
    </r>
    <r>
      <rPr>
        <b/>
        <sz val="12"/>
        <color theme="1"/>
        <rFont val="Calibri"/>
        <family val="2"/>
      </rPr>
      <t xml:space="preserve"> =</t>
    </r>
  </si>
  <si>
    <r>
      <t>KN/m</t>
    </r>
    <r>
      <rPr>
        <b/>
        <vertAlign val="superscript"/>
        <sz val="12"/>
        <color theme="1"/>
        <rFont val="Calibri"/>
        <family val="2"/>
        <scheme val="minor"/>
      </rPr>
      <t>3</t>
    </r>
  </si>
  <si>
    <r>
      <t>C</t>
    </r>
    <r>
      <rPr>
        <b/>
        <vertAlign val="subscript"/>
        <sz val="12"/>
        <color theme="1"/>
        <rFont val="Calibri"/>
        <family val="2"/>
        <scheme val="minor"/>
      </rPr>
      <t xml:space="preserve">c </t>
    </r>
    <r>
      <rPr>
        <b/>
        <sz val="12"/>
        <color theme="1"/>
        <rFont val="Calibri"/>
        <family val="2"/>
        <scheme val="minor"/>
      </rPr>
      <t>=</t>
    </r>
  </si>
  <si>
    <r>
      <t>KN/m</t>
    </r>
    <r>
      <rPr>
        <b/>
        <vertAlign val="superscript"/>
        <sz val="12"/>
        <color theme="1"/>
        <rFont val="Calibri"/>
        <family val="2"/>
        <scheme val="minor"/>
      </rPr>
      <t>2</t>
    </r>
    <r>
      <rPr>
        <sz val="11"/>
        <color theme="1"/>
        <rFont val="Calibri"/>
        <family val="2"/>
        <scheme val="minor"/>
      </rPr>
      <t/>
    </r>
  </si>
  <si>
    <r>
      <t>ϕ</t>
    </r>
    <r>
      <rPr>
        <b/>
        <vertAlign val="subscript"/>
        <sz val="12"/>
        <color theme="1"/>
        <rFont val="Calibri"/>
        <family val="2"/>
      </rPr>
      <t>c</t>
    </r>
    <r>
      <rPr>
        <b/>
        <sz val="12"/>
        <color theme="1"/>
        <rFont val="Calibri"/>
        <family val="2"/>
      </rPr>
      <t xml:space="preserve"> =</t>
    </r>
  </si>
  <si>
    <r>
      <rPr>
        <b/>
        <sz val="12"/>
        <color theme="1"/>
        <rFont val="Symbol"/>
        <family val="1"/>
        <charset val="2"/>
      </rPr>
      <t>g</t>
    </r>
    <r>
      <rPr>
        <b/>
        <vertAlign val="subscript"/>
        <sz val="12"/>
        <color theme="1"/>
        <rFont val="Calibri"/>
        <family val="2"/>
      </rPr>
      <t>f</t>
    </r>
    <r>
      <rPr>
        <b/>
        <sz val="12"/>
        <color theme="1"/>
        <rFont val="Calibri"/>
        <family val="2"/>
      </rPr>
      <t xml:space="preserve"> =</t>
    </r>
  </si>
  <si>
    <r>
      <t>C</t>
    </r>
    <r>
      <rPr>
        <b/>
        <vertAlign val="subscript"/>
        <sz val="12"/>
        <color theme="1"/>
        <rFont val="Calibri"/>
        <family val="2"/>
        <scheme val="minor"/>
      </rPr>
      <t xml:space="preserve">f </t>
    </r>
    <r>
      <rPr>
        <b/>
        <sz val="12"/>
        <color theme="1"/>
        <rFont val="Calibri"/>
        <family val="2"/>
        <scheme val="minor"/>
      </rPr>
      <t>=</t>
    </r>
  </si>
  <si>
    <r>
      <t>ϕ</t>
    </r>
    <r>
      <rPr>
        <b/>
        <vertAlign val="subscript"/>
        <sz val="12"/>
        <color theme="1"/>
        <rFont val="Calibri"/>
        <family val="2"/>
      </rPr>
      <t>f</t>
    </r>
    <r>
      <rPr>
        <b/>
        <sz val="12"/>
        <color theme="1"/>
        <rFont val="Calibri"/>
        <family val="2"/>
      </rPr>
      <t xml:space="preserve"> =</t>
    </r>
  </si>
  <si>
    <r>
      <rPr>
        <b/>
        <sz val="12"/>
        <color theme="1"/>
        <rFont val="Symbol"/>
        <family val="1"/>
        <charset val="2"/>
      </rPr>
      <t>g</t>
    </r>
    <r>
      <rPr>
        <b/>
        <vertAlign val="subscript"/>
        <sz val="12"/>
        <color theme="1"/>
        <rFont val="Calibri"/>
        <family val="2"/>
      </rPr>
      <t>r</t>
    </r>
    <r>
      <rPr>
        <b/>
        <sz val="12"/>
        <color theme="1"/>
        <rFont val="Calibri"/>
        <family val="2"/>
      </rPr>
      <t xml:space="preserve"> =</t>
    </r>
  </si>
  <si>
    <r>
      <t>C</t>
    </r>
    <r>
      <rPr>
        <b/>
        <vertAlign val="subscript"/>
        <sz val="12"/>
        <color theme="1"/>
        <rFont val="Calibri"/>
        <family val="2"/>
        <scheme val="minor"/>
      </rPr>
      <t xml:space="preserve">r </t>
    </r>
    <r>
      <rPr>
        <b/>
        <sz val="12"/>
        <color theme="1"/>
        <rFont val="Calibri"/>
        <family val="2"/>
        <scheme val="minor"/>
      </rPr>
      <t>=</t>
    </r>
  </si>
  <si>
    <r>
      <t>ϕ</t>
    </r>
    <r>
      <rPr>
        <b/>
        <vertAlign val="subscript"/>
        <sz val="12"/>
        <color theme="1"/>
        <rFont val="Calibri"/>
        <family val="2"/>
      </rPr>
      <t>r</t>
    </r>
    <r>
      <rPr>
        <b/>
        <sz val="12"/>
        <color theme="1"/>
        <rFont val="Calibri"/>
        <family val="2"/>
      </rPr>
      <t xml:space="preserve"> =</t>
    </r>
  </si>
  <si>
    <t>si :</t>
  </si>
  <si>
    <t>e =</t>
  </si>
  <si>
    <t>entonces:</t>
  </si>
  <si>
    <r>
      <rPr>
        <b/>
        <sz val="12"/>
        <color theme="1"/>
        <rFont val="Symbol"/>
        <family val="1"/>
        <charset val="2"/>
      </rPr>
      <t>r</t>
    </r>
    <r>
      <rPr>
        <b/>
        <sz val="12"/>
        <color theme="1"/>
        <rFont val="Calibri"/>
        <family val="2"/>
      </rPr>
      <t xml:space="preserve"> =</t>
    </r>
  </si>
  <si>
    <t>b) Revisión del factor de seguridad por volteo del muro.</t>
  </si>
  <si>
    <t>Si:</t>
  </si>
  <si>
    <r>
      <t>σ</t>
    </r>
    <r>
      <rPr>
        <vertAlign val="subscript"/>
        <sz val="11"/>
        <color theme="1"/>
        <rFont val="Calibri"/>
        <family val="2"/>
      </rPr>
      <t>v</t>
    </r>
    <r>
      <rPr>
        <sz val="11"/>
        <color theme="1"/>
        <rFont val="Calibri"/>
        <family val="2"/>
      </rPr>
      <t xml:space="preserve"> = </t>
    </r>
  </si>
  <si>
    <t>Cargas por sismo:</t>
  </si>
  <si>
    <t>A =</t>
  </si>
  <si>
    <t>a) Geometría del Muro Mecánicamente Estabilizado.</t>
  </si>
  <si>
    <t>b) Cargas aplicadas en el Muro Mecánicamente Estabilizado.</t>
  </si>
  <si>
    <t>d) Propiedades del Geosintético.</t>
  </si>
  <si>
    <t>Relación de cobertura.</t>
  </si>
  <si>
    <t>Por lo que el Esfuerzo Maximo horizontal del muro es:</t>
  </si>
  <si>
    <t>INCREMENTO DE ESFUERZO VERTICAL POR CARGAS PUNTUALES</t>
  </si>
  <si>
    <t>d = cf =</t>
  </si>
  <si>
    <t>Z2 =</t>
  </si>
  <si>
    <t>2d-bf</t>
  </si>
  <si>
    <t>Di =</t>
  </si>
  <si>
    <r>
      <t>Δσ</t>
    </r>
    <r>
      <rPr>
        <b/>
        <vertAlign val="subscript"/>
        <sz val="16"/>
        <rFont val="Calibri"/>
        <family val="2"/>
      </rPr>
      <t>Vmax</t>
    </r>
    <r>
      <rPr>
        <b/>
        <sz val="16"/>
        <rFont val="Calibri"/>
        <family val="2"/>
      </rPr>
      <t xml:space="preserve"> =</t>
    </r>
  </si>
  <si>
    <r>
      <t>E</t>
    </r>
    <r>
      <rPr>
        <b/>
        <vertAlign val="subscript"/>
        <sz val="12"/>
        <color theme="1"/>
        <rFont val="Calibri"/>
        <family val="2"/>
        <scheme val="minor"/>
      </rPr>
      <t>r</t>
    </r>
    <r>
      <rPr>
        <b/>
        <sz val="12"/>
        <color theme="1"/>
        <rFont val="Calibri"/>
        <family val="2"/>
        <scheme val="minor"/>
      </rPr>
      <t>:</t>
    </r>
  </si>
  <si>
    <t>METODOLOGÍA PARA DISEÑOS DE MUROS MECÁNICAMENTE ESTABILIZADOS CON GEOSINTÉTICOS</t>
  </si>
  <si>
    <r>
      <t>m</t>
    </r>
    <r>
      <rPr>
        <vertAlign val="superscript"/>
        <sz val="11"/>
        <color theme="1"/>
        <rFont val="Calibri"/>
        <family val="2"/>
        <scheme val="minor"/>
      </rPr>
      <t>2</t>
    </r>
  </si>
  <si>
    <r>
      <t>Area</t>
    </r>
    <r>
      <rPr>
        <i/>
        <vertAlign val="subscript"/>
        <sz val="11"/>
        <color theme="1"/>
        <rFont val="Calibri"/>
        <family val="2"/>
        <scheme val="minor"/>
      </rPr>
      <t>zona activa</t>
    </r>
    <r>
      <rPr>
        <sz val="11"/>
        <color theme="1"/>
        <rFont val="Calibri"/>
        <family val="2"/>
        <scheme val="minor"/>
      </rPr>
      <t xml:space="preserve"> =</t>
    </r>
  </si>
  <si>
    <r>
      <t>P</t>
    </r>
    <r>
      <rPr>
        <b/>
        <vertAlign val="subscript"/>
        <sz val="11"/>
        <color theme="1"/>
        <rFont val="Calibri"/>
        <family val="2"/>
        <scheme val="minor"/>
      </rPr>
      <t>I</t>
    </r>
    <r>
      <rPr>
        <b/>
        <sz val="11"/>
        <color theme="1"/>
        <rFont val="Calibri"/>
        <family val="2"/>
        <scheme val="minor"/>
      </rPr>
      <t xml:space="preserve"> =</t>
    </r>
  </si>
  <si>
    <r>
      <t>C</t>
    </r>
    <r>
      <rPr>
        <b/>
        <vertAlign val="subscript"/>
        <sz val="11"/>
        <color theme="1"/>
        <rFont val="Calibri"/>
        <family val="2"/>
        <scheme val="minor"/>
      </rPr>
      <t>i</t>
    </r>
    <r>
      <rPr>
        <b/>
        <sz val="11"/>
        <color theme="1"/>
        <rFont val="Calibri"/>
        <family val="2"/>
        <scheme val="minor"/>
      </rPr>
      <t xml:space="preserve"> =</t>
    </r>
  </si>
  <si>
    <t>Esta metodología esta basada en la publicación No. FHWA-NHI-00-043 “Mechanically Stabilized Earth Walls and Reinforced Soil Slopes, Design &amp; Construction Guidelines”, del Departamento de Transporte de la Federal Highway Administration(FHWA) en los Estados Unidos de América, los valores requeridos para la realización de este diseño están mencionados en la parte teórica de este manual.</t>
  </si>
  <si>
    <t>d.1) Coeficiente de fricción de la interacción Suelo/Refuerzo.</t>
  </si>
  <si>
    <t>a) Se obtiene los diagramas de presiones que actuan en el muro:</t>
  </si>
  <si>
    <t>Kar =</t>
  </si>
  <si>
    <t>NOMBRE DEL PROYECTO:</t>
  </si>
  <si>
    <t>NOMBRE DE LA EMPRESA:</t>
  </si>
  <si>
    <t>NOMBRE DEL ANALISTA:</t>
  </si>
  <si>
    <t>UBICACIÓN DEL PROYECTO:</t>
  </si>
  <si>
    <t>DESCRIPCION DEL PROYECTO:</t>
  </si>
  <si>
    <t>MENU DE INICIO</t>
  </si>
  <si>
    <t>INCREMENTO DE ESFUERZO HORIZONTAL POR CARGAS CONCENTRADAS</t>
  </si>
  <si>
    <t>Geomalla</t>
  </si>
  <si>
    <t>DISEÑO FINAL</t>
  </si>
  <si>
    <t>DISEÑO POR CAPA DEL MURO MECANICAMENTE ESTABILIZADO</t>
  </si>
  <si>
    <t>Ttotal (KN/m)</t>
  </si>
  <si>
    <t>Ttotal KN/m</t>
  </si>
  <si>
    <t>Altura:</t>
  </si>
  <si>
    <t>Propiedades de los suelos:</t>
  </si>
  <si>
    <r>
      <rPr>
        <sz val="12"/>
        <color theme="1"/>
        <rFont val="Symbol"/>
        <family val="1"/>
        <charset val="2"/>
      </rPr>
      <t>g</t>
    </r>
    <r>
      <rPr>
        <vertAlign val="subscript"/>
        <sz val="12"/>
        <color theme="1"/>
        <rFont val="Calibri"/>
        <family val="2"/>
      </rPr>
      <t>f</t>
    </r>
    <r>
      <rPr>
        <sz val="12"/>
        <color theme="1"/>
        <rFont val="Calibri"/>
        <family val="2"/>
      </rPr>
      <t xml:space="preserve"> =</t>
    </r>
  </si>
  <si>
    <r>
      <t>C</t>
    </r>
    <r>
      <rPr>
        <vertAlign val="subscript"/>
        <sz val="12"/>
        <color theme="1"/>
        <rFont val="Calibri"/>
        <family val="2"/>
        <scheme val="minor"/>
      </rPr>
      <t xml:space="preserve">f </t>
    </r>
    <r>
      <rPr>
        <sz val="12"/>
        <color theme="1"/>
        <rFont val="Calibri"/>
        <family val="2"/>
        <scheme val="minor"/>
      </rPr>
      <t>=</t>
    </r>
  </si>
  <si>
    <r>
      <t>ϕ</t>
    </r>
    <r>
      <rPr>
        <vertAlign val="subscript"/>
        <sz val="12"/>
        <color theme="1"/>
        <rFont val="Calibri"/>
        <family val="2"/>
      </rPr>
      <t>f</t>
    </r>
    <r>
      <rPr>
        <sz val="12"/>
        <color theme="1"/>
        <rFont val="Calibri"/>
        <family val="2"/>
      </rPr>
      <t xml:space="preserve"> =</t>
    </r>
  </si>
  <si>
    <r>
      <rPr>
        <sz val="12"/>
        <color theme="1"/>
        <rFont val="Symbol"/>
        <family val="1"/>
        <charset val="2"/>
      </rPr>
      <t>g</t>
    </r>
    <r>
      <rPr>
        <vertAlign val="subscript"/>
        <sz val="12"/>
        <color theme="1"/>
        <rFont val="Calibri"/>
        <family val="2"/>
      </rPr>
      <t>r</t>
    </r>
    <r>
      <rPr>
        <sz val="12"/>
        <color theme="1"/>
        <rFont val="Calibri"/>
        <family val="2"/>
      </rPr>
      <t xml:space="preserve"> =</t>
    </r>
  </si>
  <si>
    <r>
      <t>C</t>
    </r>
    <r>
      <rPr>
        <vertAlign val="subscript"/>
        <sz val="12"/>
        <color theme="1"/>
        <rFont val="Calibri"/>
        <family val="2"/>
        <scheme val="minor"/>
      </rPr>
      <t xml:space="preserve">r </t>
    </r>
    <r>
      <rPr>
        <sz val="12"/>
        <color theme="1"/>
        <rFont val="Calibri"/>
        <family val="2"/>
        <scheme val="minor"/>
      </rPr>
      <t>=</t>
    </r>
  </si>
  <si>
    <r>
      <t>ϕ</t>
    </r>
    <r>
      <rPr>
        <vertAlign val="subscript"/>
        <sz val="12"/>
        <color theme="1"/>
        <rFont val="Calibri"/>
        <family val="2"/>
      </rPr>
      <t>r</t>
    </r>
    <r>
      <rPr>
        <sz val="12"/>
        <color theme="1"/>
        <rFont val="Calibri"/>
        <family val="2"/>
      </rPr>
      <t xml:space="preserve"> =</t>
    </r>
  </si>
  <si>
    <t>Propiedades del Geosintetico:</t>
  </si>
  <si>
    <t>Tipo de Geosintetico:</t>
  </si>
  <si>
    <t>Coeficiente de interacion Suelo/Refuerzo:</t>
  </si>
  <si>
    <t>Coeficiente de friccion Suelo/Refuerzo:</t>
  </si>
  <si>
    <t>e ≤ L/6</t>
  </si>
  <si>
    <t>Revisión de Factores de seguridad mínimos para los análisis de estabilidad externa e interna.</t>
  </si>
  <si>
    <t>Condiciones para el análisis de estabilidad externa.</t>
  </si>
  <si>
    <t>Condiciones para el análisis de estabilidad interna.</t>
  </si>
  <si>
    <t>Condición del Esfuerzo Vertical:</t>
  </si>
  <si>
    <t>Condición de factor de seguridad de la primera capa de refuerzo:</t>
  </si>
  <si>
    <r>
      <t>σ</t>
    </r>
    <r>
      <rPr>
        <vertAlign val="subscript"/>
        <sz val="12"/>
        <color theme="1"/>
        <rFont val="Calibri"/>
        <family val="2"/>
      </rPr>
      <t>v</t>
    </r>
    <r>
      <rPr>
        <sz val="12"/>
        <color theme="1"/>
        <rFont val="Calibri"/>
        <family val="2"/>
      </rPr>
      <t xml:space="preserve"> ≤ q</t>
    </r>
    <r>
      <rPr>
        <vertAlign val="subscript"/>
        <sz val="12"/>
        <color theme="1"/>
        <rFont val="Calibri"/>
        <family val="2"/>
      </rPr>
      <t>a</t>
    </r>
  </si>
  <si>
    <t>Cargas aplicadas en el Muro Mecanicamente Estabilizado</t>
  </si>
  <si>
    <t>Carga distribuida provocada por el transito vehicular, o cualquier otra carga viva incluida en el muro:</t>
  </si>
  <si>
    <t>Incremento de esfuerzo por cargas concentradas:</t>
  </si>
  <si>
    <t>Incremento Horizontal:</t>
  </si>
  <si>
    <t>Incremento Vertical:</t>
  </si>
  <si>
    <t>T max (KN/m</t>
  </si>
  <si>
    <t>Tmd (KN/m)</t>
  </si>
  <si>
    <t>REPORTE DE DISEÑO DE MURO MECANICAMENTE ESTABILIZADO CON GEOSINTÉTICOS</t>
  </si>
  <si>
    <t>DISEÑO ALTERNATIVO</t>
  </si>
  <si>
    <t>Tipo de Geosintético</t>
  </si>
  <si>
    <t>Er (m)</t>
  </si>
  <si>
    <t>H - Zi</t>
  </si>
  <si>
    <r>
      <t xml:space="preserve">Le </t>
    </r>
    <r>
      <rPr>
        <sz val="12"/>
        <color theme="1"/>
        <rFont val="Calibri"/>
        <family val="2"/>
      </rPr>
      <t>≥ 1</t>
    </r>
  </si>
  <si>
    <t>Suelo de cimentación o de desplante:</t>
  </si>
  <si>
    <t>Relleno retenido:</t>
  </si>
  <si>
    <t>Masa de suelo reforzado:</t>
  </si>
  <si>
    <t>NOTA: el diseño dado en la siguiente tabla esta dada mediante un espaciamiento vertical constante y un solo tipo de geosintético. Si se requiere un diseño combinando diferentes tipos de geosintético y variando los espacios que existen entre los refuerzos entonces dar click en "Diseño Alternativo", de lo contrario si esta de acuerdo con el diseño presentado a continuación, dar clik en "Reporte Final".</t>
  </si>
  <si>
    <t>DISEÑO ALTERNATIVO DEL MURO MECANICAMENTE ESTABILIZADO</t>
  </si>
  <si>
    <r>
      <t xml:space="preserve">Peso especifico </t>
    </r>
    <r>
      <rPr>
        <sz val="12"/>
        <color theme="1"/>
        <rFont val="Symbol"/>
        <family val="1"/>
        <charset val="2"/>
      </rPr>
      <t>g</t>
    </r>
    <r>
      <rPr>
        <vertAlign val="subscript"/>
        <sz val="12"/>
        <color theme="1"/>
        <rFont val="Calibri"/>
        <family val="2"/>
      </rPr>
      <t>c</t>
    </r>
    <r>
      <rPr>
        <sz val="12"/>
        <color theme="1"/>
        <rFont val="Calibri"/>
        <family val="2"/>
      </rPr>
      <t xml:space="preserve"> =</t>
    </r>
  </si>
  <si>
    <r>
      <t>Cohesion C</t>
    </r>
    <r>
      <rPr>
        <vertAlign val="subscript"/>
        <sz val="12"/>
        <color theme="1"/>
        <rFont val="Calibri"/>
        <family val="2"/>
        <scheme val="minor"/>
      </rPr>
      <t xml:space="preserve">c </t>
    </r>
    <r>
      <rPr>
        <sz val="12"/>
        <color theme="1"/>
        <rFont val="Calibri"/>
        <family val="2"/>
        <scheme val="minor"/>
      </rPr>
      <t>=</t>
    </r>
  </si>
  <si>
    <r>
      <t>Coeficiente de friccion ϕ</t>
    </r>
    <r>
      <rPr>
        <vertAlign val="subscript"/>
        <sz val="12"/>
        <color theme="1"/>
        <rFont val="Calibri"/>
        <family val="2"/>
      </rPr>
      <t>c</t>
    </r>
    <r>
      <rPr>
        <sz val="12"/>
        <color theme="1"/>
        <rFont val="Calibri"/>
        <family val="2"/>
      </rPr>
      <t xml:space="preserve"> =</t>
    </r>
  </si>
  <si>
    <t>Coeficiente de aceleracion Sismica :</t>
  </si>
  <si>
    <t>DATOS DE PROYECTO:</t>
  </si>
  <si>
    <t>CONDICIONES DE SEGURIDAD UTILIZADOS EN LA METODOLOGIA:</t>
  </si>
  <si>
    <t>Condición de excentricidad "e":</t>
  </si>
  <si>
    <r>
      <t>Condición del Factor de Seguridad por deslizamiento del muro "F.S.</t>
    </r>
    <r>
      <rPr>
        <b/>
        <vertAlign val="subscript"/>
        <sz val="11"/>
        <color theme="1"/>
        <rFont val="Calibri"/>
        <family val="2"/>
        <scheme val="minor"/>
      </rPr>
      <t>des</t>
    </r>
    <r>
      <rPr>
        <b/>
        <sz val="11"/>
        <color theme="1"/>
        <rFont val="Calibri"/>
        <family val="2"/>
        <scheme val="minor"/>
      </rPr>
      <t>":</t>
    </r>
  </si>
  <si>
    <r>
      <t>Condición del Factor de Seguridad por volteo del muro "F.S.</t>
    </r>
    <r>
      <rPr>
        <b/>
        <vertAlign val="subscript"/>
        <sz val="11"/>
        <color theme="1"/>
        <rFont val="Calibri"/>
        <family val="2"/>
        <scheme val="minor"/>
      </rPr>
      <t>V</t>
    </r>
    <r>
      <rPr>
        <b/>
        <sz val="11"/>
        <color theme="1"/>
        <rFont val="Calibri"/>
        <family val="2"/>
        <scheme val="minor"/>
      </rPr>
      <t>:</t>
    </r>
  </si>
  <si>
    <r>
      <t>Cohesión C</t>
    </r>
    <r>
      <rPr>
        <vertAlign val="subscript"/>
        <sz val="12"/>
        <color theme="1"/>
        <rFont val="Calibri"/>
        <family val="2"/>
        <scheme val="minor"/>
      </rPr>
      <t xml:space="preserve">c </t>
    </r>
    <r>
      <rPr>
        <sz val="12"/>
        <color theme="1"/>
        <rFont val="Calibri"/>
        <family val="2"/>
        <scheme val="minor"/>
      </rPr>
      <t>=</t>
    </r>
  </si>
  <si>
    <r>
      <t>Coeficiente de fricción ϕ</t>
    </r>
    <r>
      <rPr>
        <vertAlign val="subscript"/>
        <sz val="12"/>
        <color theme="1"/>
        <rFont val="Calibri"/>
        <family val="2"/>
      </rPr>
      <t>c</t>
    </r>
    <r>
      <rPr>
        <sz val="12"/>
        <color theme="1"/>
        <rFont val="Calibri"/>
        <family val="2"/>
      </rPr>
      <t xml:space="preserve"> =</t>
    </r>
  </si>
  <si>
    <t>Cargas aplicadas en el Muro Mecánicamente Estabilizado</t>
  </si>
  <si>
    <t>Aceleración Sísmica :</t>
  </si>
  <si>
    <t>CONDICIONES DE SEGURIDAD UTILIZADAS EN LA METODOLOGIA:</t>
  </si>
  <si>
    <t>INSTITUTO MEXICANO DEL TRANSPORTE</t>
  </si>
  <si>
    <t xml:space="preserve"> IMT</t>
  </si>
  <si>
    <t xml:space="preserve">INTERNATIONAL GEOSYNTHETICS SOCIETY  </t>
  </si>
  <si>
    <t>UNIVERSIDAD AUTONOMA DE CHIHUAHUA</t>
  </si>
  <si>
    <t xml:space="preserve">UACH </t>
  </si>
  <si>
    <t xml:space="preserve"> IGS CAPITULO MEXICO</t>
  </si>
  <si>
    <t>Θ=</t>
  </si>
  <si>
    <r>
      <rPr>
        <b/>
        <sz val="12"/>
        <color theme="1"/>
        <rFont val="Calibri"/>
        <family val="2"/>
      </rPr>
      <t>β</t>
    </r>
    <r>
      <rPr>
        <b/>
        <sz val="10.199999999999999"/>
        <color theme="1"/>
        <rFont val="Calibri"/>
        <family val="2"/>
      </rPr>
      <t xml:space="preserve"> =</t>
    </r>
  </si>
  <si>
    <t>P-UX17</t>
  </si>
  <si>
    <t>P-UX16</t>
  </si>
  <si>
    <t>ESPECIFICACION</t>
  </si>
  <si>
    <t>P-UX15</t>
  </si>
  <si>
    <t>P-UX14</t>
  </si>
  <si>
    <t>P-UX11</t>
  </si>
  <si>
    <t>LT Teorico (m)</t>
  </si>
  <si>
    <t>LT Constructivo (m)</t>
  </si>
  <si>
    <t>CARRETERA MEXICO - PUEBLA</t>
  </si>
  <si>
    <t>CIIASA</t>
  </si>
  <si>
    <t>M.I. JESUS ALBERTO GOMEZ RIVERA</t>
  </si>
  <si>
    <t>SE HACE LA PROPUESTA DE LA ESTABILIZACION CON MUROS MECANICAMENTE ESTABILIZADOS</t>
  </si>
  <si>
    <t>GEOMALLA</t>
  </si>
  <si>
    <t>GEOTEXTIL</t>
  </si>
  <si>
    <t>KM. 120+727.34 CARRETERA MEXICO PUEBLA</t>
  </si>
  <si>
    <t>GEOTEXTIL PAVCO T2400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</si>
</sst>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0" x14ac:knownFonts="1">
    <font>
      <sz val="11"/>
      <color theme="1"/>
      <name val="Calibri"/>
      <family val="2"/>
      <scheme val="minor"/>
    </font>
    <font>
      <sz val="11"/>
      <color theme="1"/>
      <name val="Arial Black"/>
      <family val="2"/>
    </font>
    <font>
      <b/>
      <sz val="11"/>
      <color theme="1"/>
      <name val="Calibri"/>
      <family val="2"/>
      <scheme val="minor"/>
    </font>
    <font>
      <b/>
      <sz val="11"/>
      <color theme="1"/>
      <name val="Arial"/>
      <family val="2"/>
    </font>
    <font>
      <sz val="11"/>
      <color theme="1"/>
      <name val="Arial"/>
      <family val="2"/>
    </font>
    <font>
      <sz val="11"/>
      <color theme="1"/>
      <name val="Calibri"/>
      <family val="2"/>
    </font>
    <font>
      <sz val="11"/>
      <color theme="1"/>
      <name val="Symbol"/>
      <family val="1"/>
      <charset val="2"/>
    </font>
    <font>
      <vertAlign val="subscript"/>
      <sz val="11"/>
      <color theme="1"/>
      <name val="Calibri"/>
      <family val="2"/>
    </font>
    <font>
      <vertAlign val="subscript"/>
      <sz val="11"/>
      <color theme="1"/>
      <name val="Calibri"/>
      <family val="2"/>
      <scheme val="minor"/>
    </font>
    <font>
      <vertAlign val="superscript"/>
      <sz val="11"/>
      <color theme="1"/>
      <name val="Calibri"/>
      <family val="2"/>
      <scheme val="minor"/>
    </font>
    <font>
      <b/>
      <sz val="14"/>
      <color theme="1"/>
      <name val="Calibri"/>
      <family val="2"/>
      <scheme val="minor"/>
    </font>
    <font>
      <b/>
      <vertAlign val="subscript"/>
      <sz val="11"/>
      <color theme="1"/>
      <name val="Calibri"/>
      <family val="2"/>
      <scheme val="minor"/>
    </font>
    <font>
      <i/>
      <sz val="11"/>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12"/>
      <name val="Calibri"/>
      <family val="2"/>
      <scheme val="minor"/>
    </font>
    <font>
      <sz val="9.9"/>
      <color theme="1"/>
      <name val="Calibri"/>
      <family val="2"/>
    </font>
    <font>
      <sz val="11"/>
      <name val="Calibri"/>
      <family val="2"/>
      <scheme val="minor"/>
    </font>
    <font>
      <vertAlign val="subscript"/>
      <sz val="11"/>
      <color theme="1"/>
      <name val="Symbol"/>
      <family val="1"/>
      <charset val="2"/>
    </font>
    <font>
      <b/>
      <sz val="11"/>
      <color theme="1"/>
      <name val="Calibri"/>
      <family val="2"/>
    </font>
    <font>
      <b/>
      <vertAlign val="subscript"/>
      <sz val="11"/>
      <color theme="1"/>
      <name val="Calibri"/>
      <family val="2"/>
    </font>
    <font>
      <b/>
      <vertAlign val="superscript"/>
      <sz val="11"/>
      <color theme="1"/>
      <name val="Calibri"/>
      <family val="2"/>
      <scheme val="minor"/>
    </font>
    <font>
      <sz val="14"/>
      <color rgb="FFC00000"/>
      <name val="Calibri"/>
      <family val="2"/>
      <scheme val="minor"/>
    </font>
    <font>
      <sz val="11"/>
      <color theme="1"/>
      <name val="Calibri"/>
      <family val="2"/>
      <scheme val="minor"/>
    </font>
    <font>
      <b/>
      <sz val="12"/>
      <color theme="1"/>
      <name val="Calibri"/>
      <family val="2"/>
    </font>
    <font>
      <sz val="12"/>
      <color theme="1"/>
      <name val="Calibri"/>
      <family val="2"/>
      <scheme val="minor"/>
    </font>
    <font>
      <sz val="12"/>
      <color theme="1"/>
      <name val="Calibri"/>
      <family val="2"/>
    </font>
    <font>
      <i/>
      <vertAlign val="subscript"/>
      <sz val="11"/>
      <color theme="1"/>
      <name val="Calibri"/>
      <family val="2"/>
      <scheme val="minor"/>
    </font>
    <font>
      <b/>
      <i/>
      <sz val="11"/>
      <color theme="1"/>
      <name val="Calibri"/>
      <family val="2"/>
      <scheme val="minor"/>
    </font>
    <font>
      <b/>
      <sz val="12"/>
      <color theme="1"/>
      <name val="Symbol"/>
      <family val="1"/>
      <charset val="2"/>
    </font>
    <font>
      <b/>
      <sz val="14"/>
      <name val="Calibri"/>
      <family val="2"/>
      <scheme val="minor"/>
    </font>
    <font>
      <b/>
      <sz val="16"/>
      <name val="Calibri"/>
      <family val="2"/>
    </font>
    <font>
      <b/>
      <vertAlign val="subscript"/>
      <sz val="16"/>
      <name val="Calibri"/>
      <family val="2"/>
    </font>
    <font>
      <b/>
      <sz val="16"/>
      <name val="Calibri"/>
      <family val="2"/>
      <scheme val="minor"/>
    </font>
    <font>
      <b/>
      <vertAlign val="superscript"/>
      <sz val="16"/>
      <name val="Calibri"/>
      <family val="2"/>
      <scheme val="minor"/>
    </font>
    <font>
      <b/>
      <vertAlign val="subscript"/>
      <sz val="12"/>
      <color theme="1"/>
      <name val="Calibri"/>
      <family val="2"/>
    </font>
    <font>
      <b/>
      <vertAlign val="superscript"/>
      <sz val="12"/>
      <color theme="1"/>
      <name val="Calibri"/>
      <family val="2"/>
      <scheme val="minor"/>
    </font>
    <font>
      <b/>
      <vertAlign val="subscript"/>
      <sz val="12"/>
      <color theme="1"/>
      <name val="Calibri"/>
      <family val="2"/>
      <scheme val="minor"/>
    </font>
    <font>
      <b/>
      <sz val="12"/>
      <color rgb="FFFF0000"/>
      <name val="Calibri"/>
      <family val="2"/>
      <scheme val="minor"/>
    </font>
    <font>
      <sz val="24"/>
      <color theme="1"/>
      <name val="Calibri"/>
      <family val="2"/>
      <scheme val="minor"/>
    </font>
    <font>
      <sz val="11"/>
      <color theme="0"/>
      <name val="Calibri"/>
      <family val="2"/>
      <scheme val="minor"/>
    </font>
    <font>
      <i/>
      <sz val="11"/>
      <name val="Calibri"/>
      <family val="2"/>
      <scheme val="minor"/>
    </font>
    <font>
      <sz val="14"/>
      <color theme="1"/>
      <name val="Calibri"/>
      <family val="2"/>
      <scheme val="minor"/>
    </font>
    <font>
      <sz val="12"/>
      <color theme="0"/>
      <name val="Calibri"/>
      <family val="2"/>
      <scheme val="minor"/>
    </font>
    <font>
      <sz val="12"/>
      <color theme="1"/>
      <name val="Symbol"/>
      <family val="1"/>
      <charset val="2"/>
    </font>
    <font>
      <vertAlign val="subscript"/>
      <sz val="12"/>
      <color theme="1"/>
      <name val="Calibri"/>
      <family val="2"/>
    </font>
    <font>
      <vertAlign val="subscript"/>
      <sz val="12"/>
      <color theme="1"/>
      <name val="Calibri"/>
      <family val="2"/>
      <scheme val="minor"/>
    </font>
    <font>
      <sz val="12"/>
      <name val="Calibri"/>
      <family val="2"/>
      <scheme val="minor"/>
    </font>
    <font>
      <b/>
      <sz val="10.199999999999999"/>
      <color theme="1"/>
      <name val="Calibri"/>
      <family val="2"/>
    </font>
  </fonts>
  <fills count="3">
    <fill>
      <patternFill patternType="none"/>
    </fill>
    <fill>
      <patternFill patternType="gray125"/>
    </fill>
    <fill>
      <patternFill patternType="solid">
        <fgColor rgb="FFFF0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24" fillId="0" borderId="0" applyFont="0" applyFill="0" applyBorder="0" applyAlignment="0" applyProtection="0"/>
  </cellStyleXfs>
  <cellXfs count="238">
    <xf numFmtId="0" fontId="0" fillId="0" borderId="0" xfId="0"/>
    <xf numFmtId="0" fontId="1" fillId="0" borderId="0" xfId="0" applyFont="1"/>
    <xf numFmtId="0" fontId="3" fillId="0" borderId="0" xfId="0" applyFont="1"/>
    <xf numFmtId="0" fontId="3" fillId="0" borderId="0" xfId="0" applyFont="1" applyAlignment="1"/>
    <xf numFmtId="0" fontId="0" fillId="0" borderId="0" xfId="0" applyAlignment="1">
      <alignment horizontal="right"/>
    </xf>
    <xf numFmtId="0" fontId="0" fillId="0" borderId="0" xfId="0" applyAlignment="1">
      <alignment horizontal="left"/>
    </xf>
    <xf numFmtId="0" fontId="5" fillId="0" borderId="0" xfId="0" applyFont="1" applyAlignment="1">
      <alignment horizontal="right"/>
    </xf>
    <xf numFmtId="0" fontId="0" fillId="0" borderId="0" xfId="0" applyAlignment="1">
      <alignment horizontal="center"/>
    </xf>
    <xf numFmtId="0" fontId="10" fillId="0" borderId="0" xfId="0" applyFont="1"/>
    <xf numFmtId="0" fontId="5" fillId="0" borderId="0" xfId="0" applyFont="1" applyAlignment="1">
      <alignment horizontal="center"/>
    </xf>
    <xf numFmtId="0" fontId="2" fillId="0" borderId="0" xfId="0" applyFont="1" applyAlignment="1">
      <alignment horizontal="right"/>
    </xf>
    <xf numFmtId="0" fontId="2" fillId="0" borderId="0" xfId="0" applyFont="1"/>
    <xf numFmtId="2" fontId="2" fillId="0" borderId="0" xfId="0" applyNumberFormat="1" applyFont="1"/>
    <xf numFmtId="0" fontId="0" fillId="0" borderId="0" xfId="0" applyAlignment="1"/>
    <xf numFmtId="0" fontId="12" fillId="0" borderId="0" xfId="0" applyFont="1" applyAlignment="1">
      <alignment horizontal="right"/>
    </xf>
    <xf numFmtId="0" fontId="12" fillId="0" borderId="0" xfId="0" applyFont="1" applyAlignment="1">
      <alignment horizontal="left"/>
    </xf>
    <xf numFmtId="0" fontId="10" fillId="0" borderId="0" xfId="0" applyFont="1" applyAlignment="1">
      <alignment horizontal="left"/>
    </xf>
    <xf numFmtId="0" fontId="2" fillId="0" borderId="0" xfId="0" applyFont="1" applyAlignment="1">
      <alignment vertical="center" wrapText="1"/>
    </xf>
    <xf numFmtId="0" fontId="15" fillId="0" borderId="0" xfId="0" applyFont="1" applyAlignment="1">
      <alignment wrapText="1"/>
    </xf>
    <xf numFmtId="0" fontId="14" fillId="0" borderId="0" xfId="0" applyFont="1" applyAlignment="1"/>
    <xf numFmtId="2" fontId="0" fillId="0" borderId="1" xfId="0" applyNumberFormat="1" applyFont="1" applyBorder="1" applyAlignment="1">
      <alignment horizontal="center" vertical="center"/>
    </xf>
    <xf numFmtId="0" fontId="2" fillId="0" borderId="2" xfId="0" applyFont="1" applyBorder="1" applyAlignment="1">
      <alignment horizontal="center" vertical="center" wrapText="1"/>
    </xf>
    <xf numFmtId="0" fontId="0" fillId="0" borderId="5" xfId="0" applyFont="1" applyBorder="1" applyAlignment="1">
      <alignment horizontal="center" vertical="center" wrapText="1"/>
    </xf>
    <xf numFmtId="2" fontId="0" fillId="0" borderId="6" xfId="0" applyNumberFormat="1" applyFont="1" applyBorder="1" applyAlignment="1">
      <alignment horizontal="center" vertical="center"/>
    </xf>
    <xf numFmtId="0" fontId="0" fillId="0" borderId="7" xfId="0" applyFont="1" applyBorder="1" applyAlignment="1">
      <alignment horizontal="center" vertical="center" wrapText="1"/>
    </xf>
    <xf numFmtId="0" fontId="2" fillId="0" borderId="3" xfId="0" applyFont="1" applyBorder="1" applyAlignment="1">
      <alignment horizontal="center" vertical="center" wrapText="1"/>
    </xf>
    <xf numFmtId="2" fontId="2" fillId="0" borderId="4" xfId="0" applyNumberFormat="1" applyFont="1" applyBorder="1" applyAlignment="1">
      <alignment horizontal="center" vertical="center" wrapText="1"/>
    </xf>
    <xf numFmtId="2" fontId="0" fillId="0" borderId="1" xfId="0" applyNumberFormat="1" applyFont="1" applyBorder="1" applyAlignment="1">
      <alignment horizontal="center" vertical="center" wrapText="1"/>
    </xf>
    <xf numFmtId="2" fontId="0" fillId="0" borderId="6" xfId="0" applyNumberFormat="1" applyFont="1" applyBorder="1" applyAlignment="1">
      <alignment horizontal="center" vertical="center" wrapText="1"/>
    </xf>
    <xf numFmtId="2" fontId="0" fillId="0" borderId="8" xfId="0" applyNumberFormat="1" applyFont="1" applyBorder="1" applyAlignment="1">
      <alignment horizontal="center" vertical="center" wrapText="1"/>
    </xf>
    <xf numFmtId="2" fontId="0" fillId="0" borderId="9" xfId="0" applyNumberFormat="1" applyFont="1" applyBorder="1" applyAlignment="1">
      <alignment horizontal="center" vertical="center" wrapText="1"/>
    </xf>
    <xf numFmtId="0" fontId="0" fillId="0" borderId="0" xfId="0" applyFont="1" applyAlignment="1">
      <alignment horizontal="right"/>
    </xf>
    <xf numFmtId="0" fontId="0" fillId="0" borderId="0" xfId="0" applyAlignment="1">
      <alignment vertical="top" wrapText="1"/>
    </xf>
    <xf numFmtId="0" fontId="0" fillId="0" borderId="0" xfId="0" applyFill="1" applyAlignment="1">
      <alignment horizontal="center"/>
    </xf>
    <xf numFmtId="2" fontId="0" fillId="0" borderId="0" xfId="0" applyNumberFormat="1"/>
    <xf numFmtId="0" fontId="6"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center" vertical="center"/>
    </xf>
    <xf numFmtId="2" fontId="0" fillId="0" borderId="6" xfId="0" applyNumberFormat="1" applyBorder="1" applyAlignment="1">
      <alignment horizontal="center" vertical="center"/>
    </xf>
    <xf numFmtId="0" fontId="0" fillId="0" borderId="7" xfId="0" applyBorder="1" applyAlignment="1">
      <alignment horizontal="center" vertical="center"/>
    </xf>
    <xf numFmtId="0" fontId="10" fillId="0" borderId="0" xfId="0" applyFont="1" applyAlignment="1">
      <alignment wrapText="1"/>
    </xf>
    <xf numFmtId="0" fontId="10" fillId="0" borderId="0" xfId="0" applyFont="1" applyAlignment="1">
      <alignment horizontal="left" wrapText="1"/>
    </xf>
    <xf numFmtId="2" fontId="0" fillId="0" borderId="0" xfId="0" applyNumberFormat="1" applyAlignment="1">
      <alignment horizontal="center"/>
    </xf>
    <xf numFmtId="0" fontId="20" fillId="0" borderId="0" xfId="0" applyFont="1" applyAlignment="1">
      <alignment horizontal="right"/>
    </xf>
    <xf numFmtId="0" fontId="10" fillId="0" borderId="0" xfId="0" applyFont="1" applyAlignment="1">
      <alignment vertical="top" wrapText="1"/>
    </xf>
    <xf numFmtId="0" fontId="26" fillId="0" borderId="0" xfId="0" applyFont="1" applyAlignment="1">
      <alignment horizontal="left"/>
    </xf>
    <xf numFmtId="0" fontId="0" fillId="0" borderId="0" xfId="0" applyFont="1"/>
    <xf numFmtId="2" fontId="18" fillId="2" borderId="0" xfId="0" applyNumberFormat="1" applyFont="1" applyFill="1"/>
    <xf numFmtId="2" fontId="0" fillId="2" borderId="0" xfId="0" applyNumberFormat="1" applyFill="1"/>
    <xf numFmtId="2" fontId="18" fillId="0" borderId="0" xfId="0" applyNumberFormat="1" applyFont="1" applyFill="1"/>
    <xf numFmtId="0" fontId="0" fillId="0" borderId="1" xfId="0" applyBorder="1" applyAlignment="1">
      <alignment horizontal="center"/>
    </xf>
    <xf numFmtId="2" fontId="0" fillId="0" borderId="1"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2" fontId="0" fillId="0" borderId="8" xfId="0" applyNumberFormat="1" applyBorder="1" applyAlignment="1">
      <alignment horizontal="center"/>
    </xf>
    <xf numFmtId="0" fontId="0" fillId="0" borderId="8" xfId="0" applyBorder="1" applyAlignment="1">
      <alignment horizontal="center"/>
    </xf>
    <xf numFmtId="0" fontId="0" fillId="0" borderId="3" xfId="0" applyFont="1" applyBorder="1" applyAlignment="1">
      <alignment horizontal="center"/>
    </xf>
    <xf numFmtId="0" fontId="0" fillId="0" borderId="0" xfId="0" applyBorder="1"/>
    <xf numFmtId="0" fontId="2" fillId="0" borderId="4" xfId="0" applyFont="1" applyFill="1" applyBorder="1" applyAlignment="1">
      <alignment horizontal="center"/>
    </xf>
    <xf numFmtId="2" fontId="2" fillId="0" borderId="6" xfId="0" applyNumberFormat="1" applyFont="1" applyBorder="1"/>
    <xf numFmtId="2" fontId="2" fillId="0" borderId="9" xfId="0" applyNumberFormat="1" applyFont="1" applyBorder="1"/>
    <xf numFmtId="0" fontId="2" fillId="0" borderId="4" xfId="0" applyFont="1" applyBorder="1" applyAlignment="1">
      <alignment horizontal="center"/>
    </xf>
    <xf numFmtId="2" fontId="2" fillId="0" borderId="6" xfId="0" applyNumberFormat="1" applyFont="1" applyBorder="1" applyAlignment="1">
      <alignment horizontal="center"/>
    </xf>
    <xf numFmtId="2" fontId="2" fillId="0" borderId="9" xfId="0" applyNumberFormat="1" applyFont="1" applyBorder="1" applyAlignment="1">
      <alignment horizontal="center"/>
    </xf>
    <xf numFmtId="2" fontId="10" fillId="0" borderId="6" xfId="0" applyNumberFormat="1" applyFont="1" applyBorder="1" applyAlignment="1">
      <alignment horizontal="center"/>
    </xf>
    <xf numFmtId="2" fontId="10" fillId="0" borderId="9" xfId="0" applyNumberFormat="1" applyFont="1" applyBorder="1" applyAlignment="1">
      <alignment horizontal="center"/>
    </xf>
    <xf numFmtId="0" fontId="0" fillId="0" borderId="2" xfId="0" applyBorder="1" applyAlignment="1">
      <alignment horizontal="center" vertical="center"/>
    </xf>
    <xf numFmtId="0" fontId="2" fillId="0" borderId="4" xfId="0" applyFont="1" applyBorder="1" applyAlignment="1">
      <alignment horizontal="center" vertical="center" wrapText="1"/>
    </xf>
    <xf numFmtId="0" fontId="0" fillId="0" borderId="0" xfId="0" applyAlignment="1">
      <alignment vertical="center"/>
    </xf>
    <xf numFmtId="2" fontId="10" fillId="0" borderId="1" xfId="0" applyNumberFormat="1" applyFont="1" applyBorder="1" applyAlignment="1">
      <alignment horizontal="center"/>
    </xf>
    <xf numFmtId="2" fontId="10" fillId="0" borderId="8" xfId="0" applyNumberFormat="1" applyFont="1" applyBorder="1" applyAlignment="1">
      <alignment horizontal="center"/>
    </xf>
    <xf numFmtId="0" fontId="0" fillId="0" borderId="3"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wrapText="1"/>
    </xf>
    <xf numFmtId="0" fontId="0" fillId="0" borderId="0" xfId="0" applyBorder="1" applyAlignment="1">
      <alignment vertical="center"/>
    </xf>
    <xf numFmtId="0" fontId="12" fillId="0" borderId="0" xfId="0" applyFont="1"/>
    <xf numFmtId="0" fontId="12" fillId="0" borderId="0" xfId="0" applyFont="1" applyAlignment="1">
      <alignment horizontal="center"/>
    </xf>
    <xf numFmtId="0" fontId="29" fillId="0" borderId="0" xfId="0" applyFont="1"/>
    <xf numFmtId="2" fontId="16" fillId="0" borderId="0" xfId="0" applyNumberFormat="1" applyFont="1" applyFill="1" applyAlignment="1">
      <alignment vertical="center" wrapText="1"/>
    </xf>
    <xf numFmtId="0" fontId="0" fillId="0" borderId="0" xfId="0" applyFill="1" applyAlignment="1">
      <alignment horizontal="left"/>
    </xf>
    <xf numFmtId="0" fontId="0" fillId="0" borderId="0" xfId="0" applyFill="1"/>
    <xf numFmtId="0" fontId="13" fillId="0" borderId="0" xfId="0" applyFont="1" applyFill="1" applyAlignment="1">
      <alignment horizontal="right"/>
    </xf>
    <xf numFmtId="2" fontId="16" fillId="0" borderId="0" xfId="0" applyNumberFormat="1" applyFont="1" applyFill="1" applyAlignment="1">
      <alignment horizontal="center" vertical="center"/>
    </xf>
    <xf numFmtId="0" fontId="13" fillId="0" borderId="0" xfId="0" applyFont="1" applyFill="1" applyAlignment="1">
      <alignment horizontal="left"/>
    </xf>
    <xf numFmtId="0" fontId="13" fillId="0" borderId="0" xfId="0" applyFont="1" applyFill="1" applyAlignment="1">
      <alignment horizontal="center" vertical="center" wrapText="1"/>
    </xf>
    <xf numFmtId="2" fontId="0" fillId="0" borderId="0" xfId="0" applyNumberFormat="1" applyFill="1" applyAlignment="1">
      <alignment horizontal="center"/>
    </xf>
    <xf numFmtId="0" fontId="0" fillId="0" borderId="0" xfId="0" applyFill="1" applyAlignment="1">
      <alignment horizontal="right"/>
    </xf>
    <xf numFmtId="0" fontId="0" fillId="0" borderId="0" xfId="0" applyFill="1" applyAlignment="1"/>
    <xf numFmtId="0" fontId="13" fillId="0" borderId="0" xfId="0" applyFont="1" applyFill="1" applyAlignment="1">
      <alignment vertical="top" wrapText="1"/>
    </xf>
    <xf numFmtId="0" fontId="10" fillId="0" borderId="0" xfId="0" applyFont="1" applyFill="1"/>
    <xf numFmtId="2" fontId="2" fillId="0" borderId="0" xfId="0" applyNumberFormat="1" applyFont="1" applyAlignment="1">
      <alignment horizontal="center"/>
    </xf>
    <xf numFmtId="0" fontId="13" fillId="0" borderId="0" xfId="0" applyFont="1" applyFill="1" applyAlignment="1">
      <alignment horizontal="right" vertical="center" wrapText="1"/>
    </xf>
    <xf numFmtId="0" fontId="13" fillId="0" borderId="0" xfId="0" applyFont="1" applyFill="1" applyAlignment="1">
      <alignment wrapText="1"/>
    </xf>
    <xf numFmtId="2" fontId="16" fillId="0" borderId="0" xfId="0" applyNumberFormat="1" applyFont="1" applyFill="1" applyBorder="1" applyAlignment="1">
      <alignment horizontal="left" vertical="center" wrapText="1"/>
    </xf>
    <xf numFmtId="2" fontId="0" fillId="0" borderId="0" xfId="0" applyNumberFormat="1" applyFill="1"/>
    <xf numFmtId="0" fontId="6" fillId="0" borderId="0" xfId="0" applyFont="1" applyAlignment="1">
      <alignment horizontal="right"/>
    </xf>
    <xf numFmtId="0" fontId="32" fillId="0" borderId="0" xfId="0" applyFont="1" applyAlignment="1">
      <alignment horizontal="right"/>
    </xf>
    <xf numFmtId="0" fontId="34" fillId="0" borderId="0" xfId="0" applyFont="1"/>
    <xf numFmtId="0" fontId="2" fillId="0" borderId="0" xfId="0" applyFont="1" applyFill="1" applyAlignment="1">
      <alignment horizontal="left"/>
    </xf>
    <xf numFmtId="0" fontId="25" fillId="0" borderId="0" xfId="0" applyFont="1" applyFill="1" applyAlignment="1">
      <alignment horizontal="right"/>
    </xf>
    <xf numFmtId="2" fontId="13" fillId="0" borderId="0" xfId="0" applyNumberFormat="1" applyFont="1" applyFill="1" applyAlignment="1">
      <alignment horizontal="center"/>
    </xf>
    <xf numFmtId="0" fontId="10" fillId="0" borderId="0" xfId="0" applyFont="1" applyFill="1" applyAlignment="1">
      <alignment horizontal="left"/>
    </xf>
    <xf numFmtId="2" fontId="2" fillId="0" borderId="0" xfId="0" applyNumberFormat="1" applyFont="1" applyFill="1"/>
    <xf numFmtId="2" fontId="0" fillId="0" borderId="0" xfId="0" applyNumberFormat="1" applyFont="1" applyFill="1"/>
    <xf numFmtId="2" fontId="0" fillId="0" borderId="8" xfId="0" applyNumberFormat="1" applyBorder="1" applyAlignment="1">
      <alignment horizontal="center" vertical="center"/>
    </xf>
    <xf numFmtId="2" fontId="0" fillId="0" borderId="9" xfId="0" applyNumberFormat="1" applyBorder="1" applyAlignment="1">
      <alignment horizontal="center" vertical="center"/>
    </xf>
    <xf numFmtId="0" fontId="2" fillId="0" borderId="0" xfId="0" applyFont="1" applyAlignment="1">
      <alignment horizontal="left"/>
    </xf>
    <xf numFmtId="2" fontId="34" fillId="0" borderId="0" xfId="1" applyNumberFormat="1" applyFont="1" applyAlignment="1">
      <alignment horizontal="center"/>
    </xf>
    <xf numFmtId="2" fontId="34" fillId="0" borderId="0" xfId="0" applyNumberFormat="1" applyFont="1" applyAlignment="1">
      <alignment horizontal="center"/>
    </xf>
    <xf numFmtId="0" fontId="31" fillId="0" borderId="0" xfId="0" applyFont="1" applyFill="1" applyAlignment="1">
      <alignment horizontal="left" vertical="top" wrapText="1"/>
    </xf>
    <xf numFmtId="0" fontId="13" fillId="0" borderId="0" xfId="0" applyFont="1" applyFill="1" applyAlignment="1">
      <alignment horizontal="left" vertical="top" wrapText="1"/>
    </xf>
    <xf numFmtId="0" fontId="13" fillId="0" borderId="0" xfId="0" applyFont="1" applyFill="1" applyAlignment="1">
      <alignment horizontal="left" wrapText="1"/>
    </xf>
    <xf numFmtId="0" fontId="0" fillId="0" borderId="0" xfId="0" applyFill="1" applyAlignment="1">
      <alignment horizontal="left" vertical="top" wrapText="1"/>
    </xf>
    <xf numFmtId="2" fontId="16" fillId="0" borderId="0" xfId="0" applyNumberFormat="1" applyFont="1" applyFill="1" applyBorder="1" applyAlignment="1">
      <alignment horizontal="left" vertical="top" wrapText="1"/>
    </xf>
    <xf numFmtId="2" fontId="16" fillId="0" borderId="0" xfId="0" applyNumberFormat="1" applyFont="1" applyFill="1" applyBorder="1" applyAlignment="1">
      <alignment horizontal="center" vertical="center" wrapText="1"/>
    </xf>
    <xf numFmtId="0" fontId="2" fillId="0" borderId="0" xfId="0" applyFont="1" applyFill="1" applyAlignment="1">
      <alignment horizontal="right"/>
    </xf>
    <xf numFmtId="0" fontId="25" fillId="0" borderId="0" xfId="0" applyFont="1" applyFill="1" applyAlignment="1">
      <alignment horizontal="center" vertical="top" wrapText="1"/>
    </xf>
    <xf numFmtId="0" fontId="5" fillId="0" borderId="0" xfId="0" applyFont="1" applyFill="1" applyAlignment="1">
      <alignment horizontal="right"/>
    </xf>
    <xf numFmtId="0" fontId="0" fillId="0" borderId="0" xfId="0" applyFont="1" applyFill="1"/>
    <xf numFmtId="0" fontId="25" fillId="0" borderId="0" xfId="0" applyFont="1" applyFill="1" applyAlignment="1">
      <alignment vertical="center" wrapText="1"/>
    </xf>
    <xf numFmtId="0" fontId="0" fillId="0" borderId="0" xfId="0" applyFill="1" applyAlignment="1">
      <alignment vertical="top" wrapText="1"/>
    </xf>
    <xf numFmtId="2" fontId="13" fillId="0" borderId="0" xfId="0" applyNumberFormat="1" applyFont="1" applyFill="1" applyAlignment="1">
      <alignment horizontal="left"/>
    </xf>
    <xf numFmtId="2" fontId="16" fillId="0" borderId="0" xfId="0" applyNumberFormat="1" applyFont="1" applyFill="1" applyBorder="1" applyAlignment="1">
      <alignment vertical="top" wrapText="1"/>
    </xf>
    <xf numFmtId="0" fontId="31" fillId="0" borderId="0" xfId="0" applyFont="1" applyFill="1" applyAlignment="1">
      <alignment vertical="top" wrapText="1"/>
    </xf>
    <xf numFmtId="0" fontId="2" fillId="0" borderId="0" xfId="0" applyFont="1" applyAlignment="1">
      <alignment vertical="top" wrapText="1"/>
    </xf>
    <xf numFmtId="0" fontId="23" fillId="0" borderId="0" xfId="0" applyFont="1" applyAlignment="1">
      <alignment wrapText="1"/>
    </xf>
    <xf numFmtId="2" fontId="42" fillId="0" borderId="0" xfId="0" applyNumberFormat="1" applyFont="1" applyFill="1" applyAlignment="1">
      <alignment horizontal="left"/>
    </xf>
    <xf numFmtId="2" fontId="0" fillId="0" borderId="0" xfId="0" applyNumberFormat="1" applyFill="1" applyAlignment="1">
      <alignment horizontal="left"/>
    </xf>
    <xf numFmtId="2" fontId="18" fillId="0" borderId="0" xfId="0" applyNumberFormat="1" applyFont="1" applyFill="1" applyAlignment="1">
      <alignment horizontal="center"/>
    </xf>
    <xf numFmtId="0" fontId="0" fillId="0" borderId="0" xfId="0" applyAlignment="1">
      <alignment horizontal="center" vertical="center"/>
    </xf>
    <xf numFmtId="2" fontId="0" fillId="0" borderId="0" xfId="0" applyNumberFormat="1" applyAlignment="1">
      <alignment horizontal="center" vertical="center"/>
    </xf>
    <xf numFmtId="0" fontId="2" fillId="0" borderId="0" xfId="0" applyFont="1" applyAlignment="1">
      <alignment horizontal="center" vertical="center"/>
    </xf>
    <xf numFmtId="2" fontId="2" fillId="0" borderId="0" xfId="0" applyNumberFormat="1" applyFont="1" applyAlignment="1">
      <alignment horizontal="center" vertical="center"/>
    </xf>
    <xf numFmtId="2" fontId="18" fillId="0" borderId="0" xfId="0" applyNumberFormat="1" applyFont="1" applyFill="1" applyAlignment="1">
      <alignment horizontal="center" vertical="center"/>
    </xf>
    <xf numFmtId="0" fontId="18" fillId="0" borderId="0" xfId="0" applyFont="1"/>
    <xf numFmtId="0" fontId="18" fillId="0" borderId="0" xfId="0" applyFont="1" applyFill="1"/>
    <xf numFmtId="0" fontId="18" fillId="0" borderId="0" xfId="0" applyFont="1" applyFill="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41" fillId="0" borderId="0" xfId="0" applyFont="1"/>
    <xf numFmtId="0" fontId="41" fillId="0" borderId="0" xfId="0" applyFont="1" applyFill="1"/>
    <xf numFmtId="0" fontId="2" fillId="0" borderId="23" xfId="0" applyFont="1" applyBorder="1" applyAlignment="1">
      <alignment horizontal="center" vertical="center" wrapText="1"/>
    </xf>
    <xf numFmtId="0" fontId="26" fillId="0" borderId="0" xfId="0" applyFont="1"/>
    <xf numFmtId="0" fontId="44" fillId="0" borderId="0" xfId="0" applyFont="1"/>
    <xf numFmtId="1" fontId="26" fillId="0" borderId="0" xfId="0" applyNumberFormat="1" applyFont="1"/>
    <xf numFmtId="2" fontId="26" fillId="0" borderId="0" xfId="0" applyNumberFormat="1" applyFont="1"/>
    <xf numFmtId="0" fontId="26" fillId="0" borderId="0" xfId="0" applyFont="1" applyAlignment="1">
      <alignment vertical="top" wrapText="1"/>
    </xf>
    <xf numFmtId="2" fontId="26" fillId="0" borderId="0" xfId="0" applyNumberFormat="1" applyFont="1" applyAlignment="1">
      <alignment vertical="top" wrapText="1"/>
    </xf>
    <xf numFmtId="0" fontId="26" fillId="0" borderId="0" xfId="0" applyFont="1" applyAlignment="1">
      <alignment vertical="center"/>
    </xf>
    <xf numFmtId="0" fontId="27" fillId="0" borderId="0" xfId="0" applyFont="1" applyFill="1" applyAlignment="1">
      <alignment horizontal="right"/>
    </xf>
    <xf numFmtId="0" fontId="26" fillId="0" borderId="0" xfId="0" applyFont="1" applyFill="1" applyAlignment="1">
      <alignment horizontal="right"/>
    </xf>
    <xf numFmtId="2" fontId="26" fillId="0" borderId="0" xfId="0" applyNumberFormat="1" applyFont="1" applyAlignment="1">
      <alignment vertical="center"/>
    </xf>
    <xf numFmtId="0" fontId="26" fillId="0" borderId="0" xfId="0" applyFont="1" applyAlignment="1">
      <alignment horizontal="right"/>
    </xf>
    <xf numFmtId="0" fontId="48" fillId="0" borderId="0" xfId="0" applyFont="1" applyFill="1" applyAlignment="1">
      <alignment horizontal="left" vertical="top"/>
    </xf>
    <xf numFmtId="0" fontId="26" fillId="0" borderId="0" xfId="0" applyFont="1" applyFill="1" applyAlignment="1">
      <alignment horizontal="left"/>
    </xf>
    <xf numFmtId="0" fontId="48" fillId="0" borderId="0" xfId="0" applyFont="1" applyFill="1" applyAlignment="1">
      <alignment vertical="top" wrapText="1"/>
    </xf>
    <xf numFmtId="0" fontId="26" fillId="0" borderId="23" xfId="0" applyFont="1" applyBorder="1" applyAlignment="1">
      <alignment horizontal="center" vertical="center" wrapText="1"/>
    </xf>
    <xf numFmtId="0" fontId="27" fillId="0" borderId="0" xfId="0" applyFont="1" applyAlignment="1">
      <alignment horizontal="center"/>
    </xf>
    <xf numFmtId="0" fontId="26" fillId="0" borderId="0" xfId="0" applyFont="1" applyAlignment="1">
      <alignment horizontal="center"/>
    </xf>
    <xf numFmtId="0" fontId="26" fillId="0" borderId="0" xfId="0" applyFont="1" applyAlignment="1">
      <alignment horizontal="center" vertical="center"/>
    </xf>
    <xf numFmtId="0" fontId="13" fillId="0" borderId="0" xfId="0" applyFont="1" applyFill="1" applyAlignment="1">
      <alignment horizontal="left" vertical="center"/>
    </xf>
    <xf numFmtId="0" fontId="14" fillId="0" borderId="0" xfId="0" applyFont="1" applyAlignment="1">
      <alignment vertical="center" wrapText="1"/>
    </xf>
    <xf numFmtId="0" fontId="26" fillId="0" borderId="22" xfId="0" applyFont="1" applyBorder="1" applyAlignment="1">
      <alignment horizontal="center" vertical="center" wrapText="1"/>
    </xf>
    <xf numFmtId="2" fontId="48" fillId="0" borderId="0" xfId="0" applyNumberFormat="1" applyFont="1" applyFill="1"/>
    <xf numFmtId="2" fontId="26" fillId="0" borderId="0" xfId="0" applyNumberFormat="1" applyFont="1" applyAlignment="1">
      <alignment horizontal="center"/>
    </xf>
    <xf numFmtId="0" fontId="26" fillId="0" borderId="21" xfId="0" applyFont="1" applyBorder="1" applyAlignment="1">
      <alignment horizontal="center" vertical="center" wrapText="1"/>
    </xf>
    <xf numFmtId="1" fontId="26" fillId="0" borderId="0" xfId="0" applyNumberFormat="1" applyFont="1" applyAlignment="1">
      <alignment horizontal="center" vertical="center" wrapText="1"/>
    </xf>
    <xf numFmtId="2" fontId="26" fillId="0" borderId="0" xfId="0" applyNumberFormat="1" applyFont="1" applyAlignment="1">
      <alignment horizontal="center" vertical="center" wrapText="1"/>
    </xf>
    <xf numFmtId="2" fontId="48" fillId="0" borderId="0" xfId="0" applyNumberFormat="1" applyFont="1" applyFill="1" applyAlignment="1">
      <alignment horizontal="center" vertical="center" wrapText="1"/>
    </xf>
    <xf numFmtId="0" fontId="26" fillId="0" borderId="0" xfId="0" applyFont="1" applyAlignment="1">
      <alignment horizontal="left" vertical="top"/>
    </xf>
    <xf numFmtId="0" fontId="26" fillId="0" borderId="0" xfId="0" applyFont="1" applyFill="1" applyBorder="1" applyAlignment="1">
      <alignment horizontal="center" vertical="center" wrapText="1"/>
    </xf>
    <xf numFmtId="2" fontId="0" fillId="0" borderId="0" xfId="0" applyNumberFormat="1" applyBorder="1" applyAlignment="1">
      <alignment horizontal="center" vertical="center"/>
    </xf>
    <xf numFmtId="0" fontId="0" fillId="0" borderId="0" xfId="0" applyBorder="1" applyAlignment="1">
      <alignment horizontal="center"/>
    </xf>
    <xf numFmtId="2" fontId="48" fillId="0" borderId="0" xfId="0" applyNumberFormat="1" applyFont="1" applyFill="1" applyAlignment="1">
      <alignment horizontal="center" vertical="center"/>
    </xf>
    <xf numFmtId="0" fontId="27" fillId="0" borderId="0" xfId="0" applyFont="1" applyAlignment="1">
      <alignment horizontal="center" vertical="center"/>
    </xf>
    <xf numFmtId="2" fontId="26" fillId="0" borderId="0" xfId="0" applyNumberFormat="1" applyFont="1" applyAlignment="1">
      <alignment horizontal="center" vertical="center"/>
    </xf>
    <xf numFmtId="0" fontId="10" fillId="0" borderId="0" xfId="0" applyFont="1" applyFill="1" applyAlignment="1">
      <alignment vertical="center" wrapText="1"/>
    </xf>
    <xf numFmtId="0" fontId="26"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left"/>
    </xf>
    <xf numFmtId="0" fontId="13" fillId="0" borderId="0" xfId="0" applyFont="1" applyFill="1" applyAlignment="1">
      <alignment horizontal="center" vertical="center" wrapText="1"/>
    </xf>
    <xf numFmtId="1" fontId="26" fillId="0" borderId="0" xfId="0" applyNumberFormat="1" applyFont="1" applyAlignment="1">
      <alignment horizontal="center"/>
    </xf>
    <xf numFmtId="2" fontId="48" fillId="0" borderId="0" xfId="0" applyNumberFormat="1" applyFont="1" applyFill="1" applyAlignment="1">
      <alignment horizontal="center"/>
    </xf>
    <xf numFmtId="0" fontId="13" fillId="0" borderId="0" xfId="0" applyFont="1" applyFill="1" applyAlignment="1">
      <alignment horizontal="left" wrapText="1"/>
    </xf>
    <xf numFmtId="0" fontId="20" fillId="0" borderId="0" xfId="0" applyFont="1" applyFill="1" applyAlignment="1">
      <alignment horizontal="right"/>
    </xf>
    <xf numFmtId="0" fontId="26"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0" fillId="0" borderId="1" xfId="0" applyBorder="1" applyAlignment="1">
      <alignment wrapText="1"/>
    </xf>
    <xf numFmtId="0" fontId="10" fillId="0" borderId="0" xfId="0" applyFont="1" applyAlignment="1"/>
    <xf numFmtId="0" fontId="0" fillId="0" borderId="1" xfId="0" applyBorder="1" applyAlignment="1">
      <alignment horizontal="center" vertical="center"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0" xfId="0" applyFont="1" applyBorder="1" applyAlignment="1">
      <alignment horizontal="left" vertical="top" wrapText="1"/>
    </xf>
    <xf numFmtId="0" fontId="4" fillId="0" borderId="17" xfId="0" applyFont="1" applyBorder="1" applyAlignment="1">
      <alignment horizontal="left" vertical="top" wrapText="1"/>
    </xf>
    <xf numFmtId="0" fontId="3" fillId="0" borderId="0" xfId="0" applyFont="1" applyAlignment="1">
      <alignment horizontal="center" wrapText="1"/>
    </xf>
    <xf numFmtId="0" fontId="3" fillId="0" borderId="0" xfId="0" applyFont="1" applyAlignment="1">
      <alignment horizontal="center" vertical="center" wrapText="1"/>
    </xf>
    <xf numFmtId="0" fontId="2" fillId="0" borderId="0" xfId="0" applyFont="1" applyFill="1" applyAlignment="1">
      <alignment horizontal="center" vertical="center" wrapText="1"/>
    </xf>
    <xf numFmtId="0" fontId="40" fillId="0" borderId="0" xfId="0" applyFont="1" applyFill="1" applyAlignment="1">
      <alignment horizontal="center" vertical="center" wrapText="1"/>
    </xf>
    <xf numFmtId="0" fontId="13" fillId="0" borderId="0" xfId="0" applyFont="1" applyFill="1" applyAlignment="1">
      <alignment horizontal="left" vertical="top" wrapText="1"/>
    </xf>
    <xf numFmtId="0" fontId="13" fillId="0" borderId="0" xfId="0" applyFont="1" applyFill="1" applyAlignment="1">
      <alignment horizontal="left" wrapText="1"/>
    </xf>
    <xf numFmtId="0" fontId="13" fillId="0" borderId="0" xfId="0" applyFont="1" applyFill="1" applyAlignment="1">
      <alignment horizontal="center" vertical="top" wrapText="1"/>
    </xf>
    <xf numFmtId="0" fontId="13" fillId="0" borderId="0" xfId="0" applyFont="1" applyFill="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horizontal="center"/>
    </xf>
    <xf numFmtId="0" fontId="2" fillId="0" borderId="0" xfId="0" applyFont="1" applyAlignment="1">
      <alignment horizontal="center" vertical="center" wrapText="1"/>
    </xf>
    <xf numFmtId="0" fontId="10" fillId="0" borderId="0" xfId="0" applyFont="1" applyAlignment="1">
      <alignment horizontal="left" vertical="top" wrapText="1"/>
    </xf>
    <xf numFmtId="0" fontId="0" fillId="0" borderId="0" xfId="0" applyAlignment="1">
      <alignment horizontal="center" wrapText="1"/>
    </xf>
    <xf numFmtId="0" fontId="15" fillId="0" borderId="0" xfId="0" applyFont="1" applyAlignment="1">
      <alignment horizontal="center" wrapText="1"/>
    </xf>
    <xf numFmtId="0" fontId="0" fillId="0" borderId="0" xfId="0" applyAlignment="1">
      <alignment horizontal="left" wrapText="1"/>
    </xf>
    <xf numFmtId="0" fontId="5" fillId="0" borderId="0" xfId="0" applyFont="1" applyAlignment="1">
      <alignment horizontal="left" vertical="top" wrapText="1"/>
    </xf>
    <xf numFmtId="0" fontId="0" fillId="0" borderId="10" xfId="0" applyBorder="1" applyAlignment="1">
      <alignment horizontal="center"/>
    </xf>
    <xf numFmtId="0" fontId="39" fillId="0" borderId="0" xfId="0" applyFont="1" applyFill="1" applyAlignment="1">
      <alignment horizontal="left" vertical="top" wrapText="1"/>
    </xf>
    <xf numFmtId="0" fontId="0" fillId="0" borderId="0" xfId="0" applyAlignment="1">
      <alignment horizontal="left" vertical="top" wrapText="1"/>
    </xf>
    <xf numFmtId="0" fontId="0" fillId="0" borderId="18" xfId="0" applyBorder="1" applyAlignment="1">
      <alignment horizontal="center"/>
    </xf>
    <xf numFmtId="0" fontId="0" fillId="0" borderId="12"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43" fillId="0" borderId="0" xfId="0" applyFont="1" applyAlignment="1">
      <alignment horizontal="left" vertical="top" wrapText="1"/>
    </xf>
    <xf numFmtId="0" fontId="13" fillId="0" borderId="18" xfId="0" applyFont="1" applyBorder="1" applyAlignment="1">
      <alignment horizontal="center"/>
    </xf>
    <xf numFmtId="0" fontId="13" fillId="0" borderId="19" xfId="0" applyFont="1" applyBorder="1" applyAlignment="1">
      <alignment horizontal="center"/>
    </xf>
    <xf numFmtId="0" fontId="13" fillId="0" borderId="20" xfId="0" applyFont="1" applyBorder="1" applyAlignment="1">
      <alignment horizontal="center"/>
    </xf>
    <xf numFmtId="0" fontId="26" fillId="0" borderId="0" xfId="0" applyFont="1" applyAlignment="1">
      <alignment horizontal="left" vertical="top"/>
    </xf>
    <xf numFmtId="0" fontId="26" fillId="0" borderId="0" xfId="0" applyFont="1" applyAlignment="1">
      <alignment horizontal="left" vertical="top" wrapText="1"/>
    </xf>
    <xf numFmtId="0" fontId="10" fillId="0" borderId="0" xfId="0" applyFont="1" applyFill="1" applyAlignment="1">
      <alignment horizontal="center" vertical="center" wrapText="1"/>
    </xf>
    <xf numFmtId="0" fontId="26" fillId="0" borderId="0" xfId="0" applyFont="1" applyAlignment="1">
      <alignment horizontal="left" vertical="center"/>
    </xf>
    <xf numFmtId="0" fontId="14" fillId="0" borderId="0" xfId="0" applyFont="1" applyAlignment="1">
      <alignment horizontal="center" vertical="center" wrapText="1"/>
    </xf>
    <xf numFmtId="0" fontId="13" fillId="0" borderId="1" xfId="0" applyFont="1" applyBorder="1" applyAlignment="1">
      <alignment horizontal="center"/>
    </xf>
    <xf numFmtId="0" fontId="26" fillId="0" borderId="0" xfId="0" applyFont="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file:///C:\Documents%20and%20Settings\Solksjaer\Mis%20documentos\Copia%20de%20uach.gif"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3" Type="http://schemas.openxmlformats.org/officeDocument/2006/relationships/image" Target="file:///C:\Documents%20and%20Settings\Solksjaer\Mis%20documentos\Copia%20de%20uach.gif"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15.png"/></Relationships>
</file>

<file path=xl/drawings/_rels/drawing11.xml.rels><?xml version="1.0" encoding="UTF-8" standalone="yes"?>
<Relationships xmlns="http://schemas.openxmlformats.org/package/2006/relationships"><Relationship Id="rId3" Type="http://schemas.openxmlformats.org/officeDocument/2006/relationships/image" Target="file:///C:\Documents%20and%20Settings\Solksjaer\Mis%20documentos\Copia%20de%20uach.gif"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15.png"/></Relationships>
</file>

<file path=xl/drawings/_rels/drawing12.xml.rels><?xml version="1.0" encoding="UTF-8" standalone="yes"?>
<Relationships xmlns="http://schemas.openxmlformats.org/package/2006/relationships"><Relationship Id="rId3" Type="http://schemas.openxmlformats.org/officeDocument/2006/relationships/image" Target="file:///C:\Documents%20and%20Settings\Solksjaer\Mis%20documentos\Copia%20de%20uach.gif" TargetMode="Externa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17.wmf"/><Relationship Id="rId4" Type="http://schemas.openxmlformats.org/officeDocument/2006/relationships/image" Target="../media/image16.png"/></Relationships>
</file>

<file path=xl/drawings/_rels/drawing13.xml.rels><?xml version="1.0" encoding="UTF-8" standalone="yes"?>
<Relationships xmlns="http://schemas.openxmlformats.org/package/2006/relationships"><Relationship Id="rId3" Type="http://schemas.openxmlformats.org/officeDocument/2006/relationships/image" Target="file:///C:\Documents%20and%20Settings\Solksjaer\Mis%20documentos\Copia%20de%20uach.gif"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18.png"/></Relationships>
</file>

<file path=xl/drawings/_rels/drawing14.xml.rels><?xml version="1.0" encoding="UTF-8" standalone="yes"?>
<Relationships xmlns="http://schemas.openxmlformats.org/package/2006/relationships"><Relationship Id="rId3" Type="http://schemas.openxmlformats.org/officeDocument/2006/relationships/image" Target="file:///C:\Documents%20and%20Settings\Solksjaer\Mis%20documentos\Copia%20de%20uach.gif"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15.png"/></Relationships>
</file>

<file path=xl/drawings/_rels/drawing15.xml.rels><?xml version="1.0" encoding="UTF-8" standalone="yes"?>
<Relationships xmlns="http://schemas.openxmlformats.org/package/2006/relationships"><Relationship Id="rId3" Type="http://schemas.openxmlformats.org/officeDocument/2006/relationships/image" Target="file:///C:\Documents%20and%20Settings\Solksjaer\Mis%20documentos\Copia%20de%20uach.gif"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18.png"/></Relationships>
</file>

<file path=xl/drawings/_rels/drawing2.xml.rels><?xml version="1.0" encoding="UTF-8" standalone="yes"?>
<Relationships xmlns="http://schemas.openxmlformats.org/package/2006/relationships"><Relationship Id="rId3" Type="http://schemas.openxmlformats.org/officeDocument/2006/relationships/image" Target="file:///C:\Documents%20and%20Settings\Solksjaer\Mis%20documentos\Copia%20de%20uach.gif"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file:///C:\Documents%20and%20Settings\Solksjaer\Mis%20documentos\Copia%20de%20uach.gif" TargetMode="Externa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emf"/><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file:///C:\Documents%20and%20Settings\Solksjaer\Mis%20documentos\Copia%20de%20uach.gif" TargetMode="Externa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wmf"/><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file:///C:\Documents%20and%20Settings\Solksjaer\Mis%20documentos\Copia%20de%20uach.gif"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file:///C:\Documents%20and%20Settings\Solksjaer\Mis%20documentos\Copia%20de%20uach.gif" TargetMode="Externa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6.emf"/><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file:///C:\Documents%20and%20Settings\Solksjaer\Mis%20documentos\Copia%20de%20uach.gif"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9.emf"/><Relationship Id="rId5" Type="http://schemas.openxmlformats.org/officeDocument/2006/relationships/image" Target="../media/image8.emf"/><Relationship Id="rId4" Type="http://schemas.openxmlformats.org/officeDocument/2006/relationships/image" Target="../media/image7.png"/></Relationships>
</file>

<file path=xl/drawings/_rels/drawing8.xml.rels><?xml version="1.0" encoding="UTF-8" standalone="yes"?>
<Relationships xmlns="http://schemas.openxmlformats.org/package/2006/relationships"><Relationship Id="rId3" Type="http://schemas.openxmlformats.org/officeDocument/2006/relationships/image" Target="file:///C:\Documents%20and%20Settings\Solksjaer\Mis%20documentos\Copia%20de%20uach.gif" TargetMode="External"/><Relationship Id="rId7" Type="http://schemas.openxmlformats.org/officeDocument/2006/relationships/image" Target="../media/image1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2.emf"/><Relationship Id="rId5" Type="http://schemas.openxmlformats.org/officeDocument/2006/relationships/image" Target="../media/image11.wmf"/><Relationship Id="rId4" Type="http://schemas.openxmlformats.org/officeDocument/2006/relationships/image" Target="../media/image10.png"/></Relationships>
</file>

<file path=xl/drawings/_rels/drawing9.xml.rels><?xml version="1.0" encoding="UTF-8" standalone="yes"?>
<Relationships xmlns="http://schemas.openxmlformats.org/package/2006/relationships"><Relationship Id="rId3" Type="http://schemas.openxmlformats.org/officeDocument/2006/relationships/image" Target="file:///C:\Documents%20and%20Settings\Solksjaer\Mis%20documentos\Copia%20de%20uach.gif" TargetMode="Externa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15.png"/><Relationship Id="rId4" Type="http://schemas.openxmlformats.org/officeDocument/2006/relationships/image" Target="../media/image14.wmf"/></Relationships>
</file>

<file path=xl/drawings/drawing1.xml><?xml version="1.0" encoding="utf-8"?>
<xdr:wsDr xmlns:xdr="http://schemas.openxmlformats.org/drawingml/2006/spreadsheetDrawing" xmlns:a="http://schemas.openxmlformats.org/drawingml/2006/main">
  <xdr:twoCellAnchor editAs="oneCell">
    <xdr:from>
      <xdr:col>11</xdr:col>
      <xdr:colOff>733425</xdr:colOff>
      <xdr:row>0</xdr:row>
      <xdr:rowOff>152400</xdr:rowOff>
    </xdr:from>
    <xdr:to>
      <xdr:col>13</xdr:col>
      <xdr:colOff>400535</xdr:colOff>
      <xdr:row>5</xdr:row>
      <xdr:rowOff>142875</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25" y="152400"/>
          <a:ext cx="1191110"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161925</xdr:colOff>
      <xdr:row>0</xdr:row>
      <xdr:rowOff>161925</xdr:rowOff>
    </xdr:from>
    <xdr:to>
      <xdr:col>10</xdr:col>
      <xdr:colOff>565150</xdr:colOff>
      <xdr:row>5</xdr:row>
      <xdr:rowOff>38100</xdr:rowOff>
    </xdr:to>
    <xdr:pic>
      <xdr:nvPicPr>
        <xdr:cNvPr id="5" name="4 Imagen" descr="C:\Documents and Settings\Solksjaer\Mis documentos\Copia de uach.gif"/>
        <xdr:cNvPicPr/>
      </xdr:nvPicPr>
      <xdr:blipFill>
        <a:blip xmlns:r="http://schemas.openxmlformats.org/officeDocument/2006/relationships" r:embed="rId2" r:link="rId3"/>
        <a:srcRect/>
        <a:stretch>
          <a:fillRect/>
        </a:stretch>
      </xdr:blipFill>
      <xdr:spPr bwMode="auto">
        <a:xfrm>
          <a:off x="161925" y="161925"/>
          <a:ext cx="1162050" cy="1066800"/>
        </a:xfrm>
        <a:prstGeom prst="rect">
          <a:avLst/>
        </a:prstGeom>
        <a:noFill/>
        <a:ln w="9525">
          <a:noFill/>
          <a:miter lim="800000"/>
          <a:headEnd/>
          <a:tailEnd/>
        </a:ln>
      </xdr:spPr>
    </xdr:pic>
    <xdr:clientData/>
  </xdr:twoCellAnchor>
  <xdr:twoCellAnchor>
    <xdr:from>
      <xdr:col>9</xdr:col>
      <xdr:colOff>257175</xdr:colOff>
      <xdr:row>24</xdr:row>
      <xdr:rowOff>47625</xdr:rowOff>
    </xdr:from>
    <xdr:to>
      <xdr:col>16</xdr:col>
      <xdr:colOff>657225</xdr:colOff>
      <xdr:row>25</xdr:row>
      <xdr:rowOff>85725</xdr:rowOff>
    </xdr:to>
    <xdr:sp macro="[0]!Iniciar" textlink="">
      <xdr:nvSpPr>
        <xdr:cNvPr id="2" name="1 CuadroTexto"/>
        <xdr:cNvSpPr txBox="1"/>
      </xdr:nvSpPr>
      <xdr:spPr>
        <a:xfrm>
          <a:off x="257175" y="5781675"/>
          <a:ext cx="5600700" cy="276225"/>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es-MX" sz="1100"/>
            <a:t>PARA</a:t>
          </a:r>
          <a:r>
            <a:rPr lang="es-MX" sz="1100" baseline="0"/>
            <a:t> INICIAR CON EL DISEÑO DE MUROS MECANICAMENTE ESTABILIZADO DAR CLICK AQUI</a:t>
          </a:r>
        </a:p>
      </xdr:txBody>
    </xdr:sp>
    <xdr:clientData/>
  </xdr:twoCellAnchor>
  <xdr:twoCellAnchor editAs="oneCell">
    <xdr:from>
      <xdr:col>14</xdr:col>
      <xdr:colOff>266700</xdr:colOff>
      <xdr:row>0</xdr:row>
      <xdr:rowOff>200025</xdr:rowOff>
    </xdr:from>
    <xdr:to>
      <xdr:col>16</xdr:col>
      <xdr:colOff>688975</xdr:colOff>
      <xdr:row>4</xdr:row>
      <xdr:rowOff>100412</xdr:rowOff>
    </xdr:to>
    <xdr:pic>
      <xdr:nvPicPr>
        <xdr:cNvPr id="6" name="5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62400" y="200025"/>
          <a:ext cx="1943100" cy="852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3</xdr:col>
      <xdr:colOff>66675</xdr:colOff>
      <xdr:row>14</xdr:row>
      <xdr:rowOff>28575</xdr:rowOff>
    </xdr:from>
    <xdr:ext cx="838200" cy="476250"/>
    <mc:AlternateContent xmlns:mc="http://schemas.openxmlformats.org/markup-compatibility/2006" xmlns:a14="http://schemas.microsoft.com/office/drawing/2010/main">
      <mc:Choice Requires="a14">
        <xdr:sp macro="" textlink="">
          <xdr:nvSpPr>
            <xdr:cNvPr id="2" name="1 CuadroTexto"/>
            <xdr:cNvSpPr txBox="1"/>
          </xdr:nvSpPr>
          <xdr:spPr>
            <a:xfrm>
              <a:off x="3000375" y="18268950"/>
              <a:ext cx="83820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MX" sz="1400" b="1" i="1">
                        <a:solidFill>
                          <a:schemeClr val="tx1"/>
                        </a:solidFill>
                        <a:effectLst/>
                        <a:latin typeface="Cambria Math"/>
                        <a:ea typeface="+mn-ea"/>
                        <a:cs typeface="+mn-cs"/>
                      </a:rPr>
                      <m:t>𝒆</m:t>
                    </m:r>
                    <m:r>
                      <a:rPr lang="es-MX" sz="1400" b="1" i="1">
                        <a:solidFill>
                          <a:schemeClr val="tx1"/>
                        </a:solidFill>
                        <a:effectLst/>
                        <a:latin typeface="Cambria Math"/>
                        <a:ea typeface="+mn-ea"/>
                        <a:cs typeface="+mn-cs"/>
                      </a:rPr>
                      <m:t>≤</m:t>
                    </m:r>
                    <m:f>
                      <m:fPr>
                        <m:ctrlPr>
                          <a:rPr lang="es-MX" sz="1400" b="1" i="1">
                            <a:solidFill>
                              <a:schemeClr val="tx1"/>
                            </a:solidFill>
                            <a:effectLst/>
                            <a:latin typeface="Cambria Math"/>
                            <a:ea typeface="+mn-ea"/>
                            <a:cs typeface="+mn-cs"/>
                          </a:rPr>
                        </m:ctrlPr>
                      </m:fPr>
                      <m:num>
                        <m:r>
                          <a:rPr lang="es-MX" sz="1400" b="1" i="1">
                            <a:solidFill>
                              <a:schemeClr val="tx1"/>
                            </a:solidFill>
                            <a:effectLst/>
                            <a:latin typeface="Cambria Math"/>
                            <a:ea typeface="+mn-ea"/>
                            <a:cs typeface="+mn-cs"/>
                          </a:rPr>
                          <m:t>𝑳</m:t>
                        </m:r>
                      </m:num>
                      <m:den>
                        <m:r>
                          <a:rPr lang="es-MX" sz="1400" b="1" i="1">
                            <a:solidFill>
                              <a:schemeClr val="tx1"/>
                            </a:solidFill>
                            <a:effectLst/>
                            <a:latin typeface="Cambria Math"/>
                            <a:ea typeface="+mn-ea"/>
                            <a:cs typeface="+mn-cs"/>
                          </a:rPr>
                          <m:t>𝟔</m:t>
                        </m:r>
                      </m:den>
                    </m:f>
                  </m:oMath>
                </m:oMathPara>
              </a14:m>
              <a:endParaRPr lang="es-MX" sz="1100" b="1">
                <a:solidFill>
                  <a:schemeClr val="tx1"/>
                </a:solidFill>
                <a:effectLst/>
                <a:latin typeface="+mn-lt"/>
                <a:ea typeface="+mn-ea"/>
                <a:cs typeface="+mn-cs"/>
              </a:endParaRPr>
            </a:p>
            <a:p>
              <a:endParaRPr lang="es-MX" sz="1100"/>
            </a:p>
          </xdr:txBody>
        </xdr:sp>
      </mc:Choice>
      <mc:Fallback xmlns="">
        <xdr:sp macro="" textlink="">
          <xdr:nvSpPr>
            <xdr:cNvPr id="2" name="1 CuadroTexto"/>
            <xdr:cNvSpPr txBox="1"/>
          </xdr:nvSpPr>
          <xdr:spPr>
            <a:xfrm>
              <a:off x="3000375" y="18268950"/>
              <a:ext cx="83820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1400" b="1" i="0">
                  <a:solidFill>
                    <a:schemeClr val="tx1"/>
                  </a:solidFill>
                  <a:effectLst/>
                  <a:latin typeface="Cambria Math"/>
                  <a:ea typeface="+mn-ea"/>
                  <a:cs typeface="+mn-cs"/>
                </a:rPr>
                <a:t>𝒆≤𝑳/𝟔</a:t>
              </a:r>
              <a:endParaRPr lang="es-MX" sz="1100" b="1">
                <a:solidFill>
                  <a:schemeClr val="tx1"/>
                </a:solidFill>
                <a:effectLst/>
                <a:latin typeface="+mn-lt"/>
                <a:ea typeface="+mn-ea"/>
                <a:cs typeface="+mn-cs"/>
              </a:endParaRPr>
            </a:p>
            <a:p>
              <a:endParaRPr lang="es-MX" sz="1100"/>
            </a:p>
          </xdr:txBody>
        </xdr:sp>
      </mc:Fallback>
    </mc:AlternateContent>
    <xdr:clientData/>
  </xdr:oneCellAnchor>
  <xdr:oneCellAnchor>
    <xdr:from>
      <xdr:col>3</xdr:col>
      <xdr:colOff>400050</xdr:colOff>
      <xdr:row>18</xdr:row>
      <xdr:rowOff>57150</xdr:rowOff>
    </xdr:from>
    <xdr:ext cx="483657" cy="409279"/>
    <mc:AlternateContent xmlns:mc="http://schemas.openxmlformats.org/markup-compatibility/2006" xmlns:a14="http://schemas.microsoft.com/office/drawing/2010/main">
      <mc:Choice Requires="a14">
        <xdr:sp macro="" textlink="">
          <xdr:nvSpPr>
            <xdr:cNvPr id="3" name="2 CuadroTexto"/>
            <xdr:cNvSpPr txBox="1"/>
          </xdr:nvSpPr>
          <xdr:spPr>
            <a:xfrm>
              <a:off x="3333750" y="19059525"/>
              <a:ext cx="483657" cy="4092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s-MX" sz="1100" i="1">
                            <a:solidFill>
                              <a:schemeClr val="tx1"/>
                            </a:solidFill>
                            <a:effectLst/>
                            <a:latin typeface="Cambria Math"/>
                            <a:ea typeface="+mn-ea"/>
                            <a:cs typeface="+mn-cs"/>
                          </a:rPr>
                        </m:ctrlPr>
                      </m:fPr>
                      <m:num>
                        <m:r>
                          <a:rPr lang="es-MX" sz="1100" i="1">
                            <a:solidFill>
                              <a:schemeClr val="tx1"/>
                            </a:solidFill>
                            <a:effectLst/>
                            <a:latin typeface="Cambria Math"/>
                            <a:ea typeface="+mn-ea"/>
                            <a:cs typeface="+mn-cs"/>
                          </a:rPr>
                          <m:t>𝐿</m:t>
                        </m:r>
                      </m:num>
                      <m:den>
                        <m:r>
                          <a:rPr lang="es-MX" sz="1100" i="1">
                            <a:solidFill>
                              <a:schemeClr val="tx1"/>
                            </a:solidFill>
                            <a:effectLst/>
                            <a:latin typeface="Cambria Math"/>
                            <a:ea typeface="+mn-ea"/>
                            <a:cs typeface="+mn-cs"/>
                          </a:rPr>
                          <m:t>6</m:t>
                        </m:r>
                      </m:den>
                    </m:f>
                    <m:r>
                      <a:rPr lang="es-MX" sz="1100" i="1">
                        <a:solidFill>
                          <a:schemeClr val="tx1"/>
                        </a:solidFill>
                        <a:effectLst/>
                        <a:latin typeface="Cambria Math"/>
                        <a:ea typeface="+mn-ea"/>
                        <a:cs typeface="+mn-cs"/>
                      </a:rPr>
                      <m:t>=</m:t>
                    </m:r>
                  </m:oMath>
                </m:oMathPara>
              </a14:m>
              <a:endParaRPr lang="es-MX" sz="1100"/>
            </a:p>
          </xdr:txBody>
        </xdr:sp>
      </mc:Choice>
      <mc:Fallback xmlns="">
        <xdr:sp macro="" textlink="">
          <xdr:nvSpPr>
            <xdr:cNvPr id="3" name="2 CuadroTexto"/>
            <xdr:cNvSpPr txBox="1"/>
          </xdr:nvSpPr>
          <xdr:spPr>
            <a:xfrm>
              <a:off x="3333750" y="19059525"/>
              <a:ext cx="483657" cy="4092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i="0">
                  <a:solidFill>
                    <a:schemeClr val="tx1"/>
                  </a:solidFill>
                  <a:effectLst/>
                  <a:latin typeface="Cambria Math"/>
                  <a:ea typeface="+mn-ea"/>
                  <a:cs typeface="+mn-cs"/>
                </a:rPr>
                <a:t>𝐿/6=</a:t>
              </a:r>
              <a:endParaRPr lang="es-MX" sz="1100"/>
            </a:p>
          </xdr:txBody>
        </xdr:sp>
      </mc:Fallback>
    </mc:AlternateContent>
    <xdr:clientData/>
  </xdr:oneCellAnchor>
  <xdr:oneCellAnchor>
    <xdr:from>
      <xdr:col>2</xdr:col>
      <xdr:colOff>504825</xdr:colOff>
      <xdr:row>27</xdr:row>
      <xdr:rowOff>57150</xdr:rowOff>
    </xdr:from>
    <xdr:ext cx="1609725" cy="447302"/>
    <mc:AlternateContent xmlns:mc="http://schemas.openxmlformats.org/markup-compatibility/2006" xmlns:a14="http://schemas.microsoft.com/office/drawing/2010/main">
      <mc:Choice Requires="a14">
        <xdr:sp macro="" textlink="">
          <xdr:nvSpPr>
            <xdr:cNvPr id="4" name="3 CuadroTexto"/>
            <xdr:cNvSpPr txBox="1"/>
          </xdr:nvSpPr>
          <xdr:spPr>
            <a:xfrm>
              <a:off x="2676525" y="20774025"/>
              <a:ext cx="1609725" cy="447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b="1" i="1">
                            <a:solidFill>
                              <a:schemeClr val="tx1"/>
                            </a:solidFill>
                            <a:effectLst/>
                            <a:latin typeface="Cambria Math"/>
                            <a:ea typeface="+mn-ea"/>
                            <a:cs typeface="+mn-cs"/>
                          </a:rPr>
                        </m:ctrlPr>
                      </m:sSubPr>
                      <m:e>
                        <m:r>
                          <a:rPr lang="es-MX" sz="1100" b="1" i="1">
                            <a:solidFill>
                              <a:schemeClr val="tx1"/>
                            </a:solidFill>
                            <a:effectLst/>
                            <a:latin typeface="Cambria Math"/>
                            <a:ea typeface="+mn-ea"/>
                            <a:cs typeface="+mn-cs"/>
                          </a:rPr>
                          <m:t>𝑭</m:t>
                        </m:r>
                        <m:r>
                          <a:rPr lang="es-MX" sz="1100" b="1" i="1">
                            <a:solidFill>
                              <a:schemeClr val="tx1"/>
                            </a:solidFill>
                            <a:effectLst/>
                            <a:latin typeface="Cambria Math"/>
                            <a:ea typeface="+mn-ea"/>
                            <a:cs typeface="+mn-cs"/>
                          </a:rPr>
                          <m:t>.</m:t>
                        </m:r>
                        <m:r>
                          <a:rPr lang="es-MX" sz="1100" b="1" i="1">
                            <a:solidFill>
                              <a:schemeClr val="tx1"/>
                            </a:solidFill>
                            <a:effectLst/>
                            <a:latin typeface="Cambria Math"/>
                            <a:ea typeface="+mn-ea"/>
                            <a:cs typeface="+mn-cs"/>
                          </a:rPr>
                          <m:t>𝑺</m:t>
                        </m:r>
                        <m:r>
                          <a:rPr lang="es-MX" sz="1100" b="1" i="1">
                            <a:solidFill>
                              <a:schemeClr val="tx1"/>
                            </a:solidFill>
                            <a:effectLst/>
                            <a:latin typeface="Cambria Math"/>
                            <a:ea typeface="+mn-ea"/>
                            <a:cs typeface="+mn-cs"/>
                          </a:rPr>
                          <m:t>.</m:t>
                        </m:r>
                      </m:e>
                      <m:sub>
                        <m:r>
                          <a:rPr lang="es-MX" sz="1100" b="1" i="1">
                            <a:solidFill>
                              <a:schemeClr val="tx1"/>
                            </a:solidFill>
                            <a:effectLst/>
                            <a:latin typeface="Cambria Math"/>
                            <a:ea typeface="+mn-ea"/>
                            <a:cs typeface="+mn-cs"/>
                          </a:rPr>
                          <m:t>𝒅𝒆𝒔</m:t>
                        </m:r>
                      </m:sub>
                    </m:sSub>
                    <m:r>
                      <a:rPr lang="es-MX" sz="1100" b="1" i="1">
                        <a:solidFill>
                          <a:schemeClr val="tx1"/>
                        </a:solidFill>
                        <a:effectLst/>
                        <a:latin typeface="Cambria Math"/>
                        <a:ea typeface="+mn-ea"/>
                        <a:cs typeface="+mn-cs"/>
                      </a:rPr>
                      <m:t>=</m:t>
                    </m:r>
                    <m:f>
                      <m:fPr>
                        <m:ctrlPr>
                          <a:rPr lang="es-MX" sz="1100" b="1" i="1">
                            <a:solidFill>
                              <a:schemeClr val="tx1"/>
                            </a:solidFill>
                            <a:effectLst/>
                            <a:latin typeface="Cambria Math"/>
                            <a:ea typeface="+mn-ea"/>
                            <a:cs typeface="+mn-cs"/>
                          </a:rPr>
                        </m:ctrlPr>
                      </m:fPr>
                      <m:num>
                        <m:nary>
                          <m:naryPr>
                            <m:chr m:val="∑"/>
                            <m:limLoc m:val="undOvr"/>
                            <m:subHide m:val="on"/>
                            <m:supHide m:val="on"/>
                            <m:ctrlPr>
                              <a:rPr lang="es-MX" sz="1100" b="1" i="1">
                                <a:solidFill>
                                  <a:schemeClr val="tx1"/>
                                </a:solidFill>
                                <a:effectLst/>
                                <a:latin typeface="Cambria Math"/>
                                <a:ea typeface="+mn-ea"/>
                                <a:cs typeface="+mn-cs"/>
                              </a:rPr>
                            </m:ctrlPr>
                          </m:naryPr>
                          <m:sub/>
                          <m:sup/>
                          <m:e>
                            <m:r>
                              <a:rPr lang="es-MX" sz="1100" b="1" i="1">
                                <a:solidFill>
                                  <a:schemeClr val="tx1"/>
                                </a:solidFill>
                                <a:effectLst/>
                                <a:latin typeface="Cambria Math"/>
                                <a:ea typeface="+mn-ea"/>
                                <a:cs typeface="+mn-cs"/>
                              </a:rPr>
                              <m:t>𝑷𝒓</m:t>
                            </m:r>
                          </m:e>
                        </m:nary>
                      </m:num>
                      <m:den>
                        <m:nary>
                          <m:naryPr>
                            <m:chr m:val="∑"/>
                            <m:limLoc m:val="undOvr"/>
                            <m:subHide m:val="on"/>
                            <m:supHide m:val="on"/>
                            <m:ctrlPr>
                              <a:rPr lang="es-MX" sz="1100" b="1" i="1">
                                <a:solidFill>
                                  <a:schemeClr val="tx1"/>
                                </a:solidFill>
                                <a:effectLst/>
                                <a:latin typeface="Cambria Math"/>
                                <a:ea typeface="+mn-ea"/>
                                <a:cs typeface="+mn-cs"/>
                              </a:rPr>
                            </m:ctrlPr>
                          </m:naryPr>
                          <m:sub/>
                          <m:sup/>
                          <m:e>
                            <m:r>
                              <a:rPr lang="es-MX" sz="1100" b="1" i="1">
                                <a:solidFill>
                                  <a:schemeClr val="tx1"/>
                                </a:solidFill>
                                <a:effectLst/>
                                <a:latin typeface="Cambria Math"/>
                                <a:ea typeface="+mn-ea"/>
                                <a:cs typeface="+mn-cs"/>
                              </a:rPr>
                              <m:t>𝑷𝒅</m:t>
                            </m:r>
                          </m:e>
                        </m:nary>
                      </m:den>
                    </m:f>
                    <m:r>
                      <a:rPr lang="es-MX" sz="1100" b="1" i="1">
                        <a:solidFill>
                          <a:schemeClr val="tx1"/>
                        </a:solidFill>
                        <a:effectLst/>
                        <a:latin typeface="Cambria Math"/>
                        <a:ea typeface="+mn-ea"/>
                        <a:cs typeface="+mn-cs"/>
                      </a:rPr>
                      <m:t>≥</m:t>
                    </m:r>
                    <m:r>
                      <a:rPr lang="es-MX" sz="1100" b="1" i="1">
                        <a:solidFill>
                          <a:schemeClr val="tx1"/>
                        </a:solidFill>
                        <a:effectLst/>
                        <a:latin typeface="Cambria Math"/>
                        <a:ea typeface="+mn-ea"/>
                        <a:cs typeface="+mn-cs"/>
                      </a:rPr>
                      <m:t>𝟏</m:t>
                    </m:r>
                    <m:r>
                      <a:rPr lang="es-MX" sz="1100" b="1" i="1">
                        <a:solidFill>
                          <a:schemeClr val="tx1"/>
                        </a:solidFill>
                        <a:effectLst/>
                        <a:latin typeface="Cambria Math"/>
                        <a:ea typeface="+mn-ea"/>
                        <a:cs typeface="+mn-cs"/>
                      </a:rPr>
                      <m:t>.</m:t>
                    </m:r>
                    <m:r>
                      <a:rPr lang="es-MX" sz="1100" b="1" i="1">
                        <a:solidFill>
                          <a:schemeClr val="tx1"/>
                        </a:solidFill>
                        <a:effectLst/>
                        <a:latin typeface="Cambria Math"/>
                        <a:ea typeface="+mn-ea"/>
                        <a:cs typeface="+mn-cs"/>
                      </a:rPr>
                      <m:t>𝟓</m:t>
                    </m:r>
                    <m:r>
                      <a:rPr lang="es-MX" sz="1100" b="1" i="1">
                        <a:solidFill>
                          <a:schemeClr val="tx1"/>
                        </a:solidFill>
                        <a:effectLst/>
                        <a:latin typeface="Cambria Math"/>
                        <a:ea typeface="+mn-ea"/>
                        <a:cs typeface="+mn-cs"/>
                      </a:rPr>
                      <m:t> </m:t>
                    </m:r>
                  </m:oMath>
                </m:oMathPara>
              </a14:m>
              <a:endParaRPr lang="es-MX" sz="1100" b="1"/>
            </a:p>
          </xdr:txBody>
        </xdr:sp>
      </mc:Choice>
      <mc:Fallback xmlns="">
        <xdr:sp macro="" textlink="">
          <xdr:nvSpPr>
            <xdr:cNvPr id="4" name="3 CuadroTexto"/>
            <xdr:cNvSpPr txBox="1"/>
          </xdr:nvSpPr>
          <xdr:spPr>
            <a:xfrm>
              <a:off x="2676525" y="20774025"/>
              <a:ext cx="1609725" cy="447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b="1" i="0">
                  <a:solidFill>
                    <a:schemeClr val="tx1"/>
                  </a:solidFill>
                  <a:effectLst/>
                  <a:latin typeface="Cambria Math"/>
                  <a:ea typeface="+mn-ea"/>
                  <a:cs typeface="+mn-cs"/>
                </a:rPr>
                <a:t>〖𝑭.𝑺.〗_𝒅𝒆𝒔=(∑1▒𝑷𝒓)/(∑1▒𝑷𝒅)≥𝟏.𝟓 </a:t>
              </a:r>
              <a:endParaRPr lang="es-MX" sz="1100" b="1"/>
            </a:p>
          </xdr:txBody>
        </xdr:sp>
      </mc:Fallback>
    </mc:AlternateContent>
    <xdr:clientData/>
  </xdr:oneCellAnchor>
  <xdr:oneCellAnchor>
    <xdr:from>
      <xdr:col>2</xdr:col>
      <xdr:colOff>552449</xdr:colOff>
      <xdr:row>43</xdr:row>
      <xdr:rowOff>47625</xdr:rowOff>
    </xdr:from>
    <xdr:ext cx="1438275" cy="437299"/>
    <mc:AlternateContent xmlns:mc="http://schemas.openxmlformats.org/markup-compatibility/2006" xmlns:a14="http://schemas.microsoft.com/office/drawing/2010/main">
      <mc:Choice Requires="a14">
        <xdr:sp macro="" textlink="">
          <xdr:nvSpPr>
            <xdr:cNvPr id="5" name="4 CuadroTexto"/>
            <xdr:cNvSpPr txBox="1"/>
          </xdr:nvSpPr>
          <xdr:spPr>
            <a:xfrm>
              <a:off x="2724149" y="23812500"/>
              <a:ext cx="1438275" cy="437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b="1" i="1">
                            <a:solidFill>
                              <a:schemeClr val="tx1"/>
                            </a:solidFill>
                            <a:effectLst/>
                            <a:latin typeface="Cambria Math"/>
                            <a:ea typeface="+mn-ea"/>
                            <a:cs typeface="+mn-cs"/>
                          </a:rPr>
                        </m:ctrlPr>
                      </m:sSubPr>
                      <m:e>
                        <m:r>
                          <a:rPr lang="es-MX" sz="1100" b="1" i="1">
                            <a:solidFill>
                              <a:schemeClr val="tx1"/>
                            </a:solidFill>
                            <a:effectLst/>
                            <a:latin typeface="Cambria Math"/>
                            <a:ea typeface="+mn-ea"/>
                            <a:cs typeface="+mn-cs"/>
                          </a:rPr>
                          <m:t>𝑭</m:t>
                        </m:r>
                        <m:r>
                          <a:rPr lang="es-MX" sz="1100" b="1" i="1">
                            <a:solidFill>
                              <a:schemeClr val="tx1"/>
                            </a:solidFill>
                            <a:effectLst/>
                            <a:latin typeface="Cambria Math"/>
                            <a:ea typeface="+mn-ea"/>
                            <a:cs typeface="+mn-cs"/>
                          </a:rPr>
                          <m:t>.</m:t>
                        </m:r>
                        <m:r>
                          <a:rPr lang="es-MX" sz="1100" b="1" i="1">
                            <a:solidFill>
                              <a:schemeClr val="tx1"/>
                            </a:solidFill>
                            <a:effectLst/>
                            <a:latin typeface="Cambria Math"/>
                            <a:ea typeface="+mn-ea"/>
                            <a:cs typeface="+mn-cs"/>
                          </a:rPr>
                          <m:t>𝑺</m:t>
                        </m:r>
                        <m:r>
                          <a:rPr lang="es-MX" sz="1100" b="1" i="1">
                            <a:solidFill>
                              <a:schemeClr val="tx1"/>
                            </a:solidFill>
                            <a:effectLst/>
                            <a:latin typeface="Cambria Math"/>
                            <a:ea typeface="+mn-ea"/>
                            <a:cs typeface="+mn-cs"/>
                          </a:rPr>
                          <m:t>.</m:t>
                        </m:r>
                      </m:e>
                      <m:sub>
                        <m:r>
                          <a:rPr lang="es-MX" sz="1100" b="1" i="1">
                            <a:solidFill>
                              <a:schemeClr val="tx1"/>
                            </a:solidFill>
                            <a:effectLst/>
                            <a:latin typeface="Cambria Math"/>
                            <a:ea typeface="+mn-ea"/>
                            <a:cs typeface="+mn-cs"/>
                          </a:rPr>
                          <m:t>𝑽</m:t>
                        </m:r>
                      </m:sub>
                    </m:sSub>
                    <m:r>
                      <a:rPr lang="es-MX" sz="1100" b="1" i="1">
                        <a:solidFill>
                          <a:schemeClr val="tx1"/>
                        </a:solidFill>
                        <a:effectLst/>
                        <a:latin typeface="Cambria Math"/>
                        <a:ea typeface="+mn-ea"/>
                        <a:cs typeface="+mn-cs"/>
                      </a:rPr>
                      <m:t>=</m:t>
                    </m:r>
                    <m:f>
                      <m:fPr>
                        <m:ctrlPr>
                          <a:rPr lang="es-MX" sz="1100" b="1" i="1">
                            <a:solidFill>
                              <a:schemeClr val="tx1"/>
                            </a:solidFill>
                            <a:effectLst/>
                            <a:latin typeface="Cambria Math"/>
                            <a:ea typeface="+mn-ea"/>
                            <a:cs typeface="+mn-cs"/>
                          </a:rPr>
                        </m:ctrlPr>
                      </m:fPr>
                      <m:num>
                        <m:sSub>
                          <m:sSubPr>
                            <m:ctrlPr>
                              <a:rPr lang="es-MX" sz="1100" b="1" i="1">
                                <a:solidFill>
                                  <a:schemeClr val="tx1"/>
                                </a:solidFill>
                                <a:effectLst/>
                                <a:latin typeface="Cambria Math"/>
                                <a:ea typeface="+mn-ea"/>
                                <a:cs typeface="+mn-cs"/>
                              </a:rPr>
                            </m:ctrlPr>
                          </m:sSubPr>
                          <m:e>
                            <m:r>
                              <a:rPr lang="es-MX" sz="1100" b="1" i="1">
                                <a:solidFill>
                                  <a:schemeClr val="tx1"/>
                                </a:solidFill>
                                <a:effectLst/>
                                <a:latin typeface="Cambria Math"/>
                                <a:ea typeface="+mn-ea"/>
                                <a:cs typeface="+mn-cs"/>
                              </a:rPr>
                              <m:t>𝑴</m:t>
                            </m:r>
                          </m:e>
                          <m:sub>
                            <m:r>
                              <a:rPr lang="es-MX" sz="1100" b="1" i="1">
                                <a:solidFill>
                                  <a:schemeClr val="tx1"/>
                                </a:solidFill>
                                <a:effectLst/>
                                <a:latin typeface="Cambria Math"/>
                                <a:ea typeface="+mn-ea"/>
                                <a:cs typeface="+mn-cs"/>
                              </a:rPr>
                              <m:t>𝑹</m:t>
                            </m:r>
                          </m:sub>
                        </m:sSub>
                      </m:num>
                      <m:den>
                        <m:sSub>
                          <m:sSubPr>
                            <m:ctrlPr>
                              <a:rPr lang="es-MX" sz="1100" b="1" i="1">
                                <a:solidFill>
                                  <a:schemeClr val="tx1"/>
                                </a:solidFill>
                                <a:effectLst/>
                                <a:latin typeface="Cambria Math"/>
                                <a:ea typeface="+mn-ea"/>
                                <a:cs typeface="+mn-cs"/>
                              </a:rPr>
                            </m:ctrlPr>
                          </m:sSubPr>
                          <m:e>
                            <m:r>
                              <a:rPr lang="es-MX" sz="1100" b="1" i="1">
                                <a:solidFill>
                                  <a:schemeClr val="tx1"/>
                                </a:solidFill>
                                <a:effectLst/>
                                <a:latin typeface="Cambria Math"/>
                                <a:ea typeface="+mn-ea"/>
                                <a:cs typeface="+mn-cs"/>
                              </a:rPr>
                              <m:t>𝑴</m:t>
                            </m:r>
                          </m:e>
                          <m:sub>
                            <m:r>
                              <a:rPr lang="es-MX" sz="1100" b="1" i="1">
                                <a:solidFill>
                                  <a:schemeClr val="tx1"/>
                                </a:solidFill>
                                <a:effectLst/>
                                <a:latin typeface="Cambria Math"/>
                                <a:ea typeface="+mn-ea"/>
                                <a:cs typeface="+mn-cs"/>
                              </a:rPr>
                              <m:t>𝑽</m:t>
                            </m:r>
                          </m:sub>
                        </m:sSub>
                      </m:den>
                    </m:f>
                    <m:r>
                      <a:rPr lang="es-MX" sz="1100" b="1" i="0">
                        <a:solidFill>
                          <a:schemeClr val="tx1"/>
                        </a:solidFill>
                        <a:effectLst/>
                        <a:latin typeface="Cambria Math"/>
                        <a:ea typeface="+mn-ea"/>
                        <a:cs typeface="+mn-cs"/>
                      </a:rPr>
                      <m:t>≥</m:t>
                    </m:r>
                    <m:r>
                      <a:rPr lang="es-MX" sz="1100" b="1" i="0">
                        <a:solidFill>
                          <a:schemeClr val="tx1"/>
                        </a:solidFill>
                        <a:effectLst/>
                        <a:latin typeface="Cambria Math"/>
                        <a:ea typeface="+mn-ea"/>
                        <a:cs typeface="+mn-cs"/>
                      </a:rPr>
                      <m:t>𝟐</m:t>
                    </m:r>
                    <m:r>
                      <a:rPr lang="es-MX" sz="1100" b="1" i="0">
                        <a:solidFill>
                          <a:schemeClr val="tx1"/>
                        </a:solidFill>
                        <a:effectLst/>
                        <a:latin typeface="Cambria Math"/>
                        <a:ea typeface="+mn-ea"/>
                        <a:cs typeface="+mn-cs"/>
                      </a:rPr>
                      <m:t>.</m:t>
                    </m:r>
                    <m:r>
                      <a:rPr lang="es-MX" sz="1100" b="1" i="0">
                        <a:solidFill>
                          <a:schemeClr val="tx1"/>
                        </a:solidFill>
                        <a:effectLst/>
                        <a:latin typeface="Cambria Math"/>
                        <a:ea typeface="+mn-ea"/>
                        <a:cs typeface="+mn-cs"/>
                      </a:rPr>
                      <m:t>𝟓</m:t>
                    </m:r>
                  </m:oMath>
                </m:oMathPara>
              </a14:m>
              <a:endParaRPr lang="es-MX" sz="1100" b="1">
                <a:solidFill>
                  <a:schemeClr val="tx1"/>
                </a:solidFill>
                <a:effectLst/>
                <a:ea typeface="+mn-ea"/>
                <a:cs typeface="+mn-cs"/>
              </a:endParaRPr>
            </a:p>
          </xdr:txBody>
        </xdr:sp>
      </mc:Choice>
      <mc:Fallback xmlns="">
        <xdr:sp macro="" textlink="">
          <xdr:nvSpPr>
            <xdr:cNvPr id="5" name="4 CuadroTexto"/>
            <xdr:cNvSpPr txBox="1"/>
          </xdr:nvSpPr>
          <xdr:spPr>
            <a:xfrm>
              <a:off x="2724149" y="23812500"/>
              <a:ext cx="1438275" cy="437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b="1" i="0">
                  <a:solidFill>
                    <a:schemeClr val="tx1"/>
                  </a:solidFill>
                  <a:effectLst/>
                  <a:latin typeface="Cambria Math"/>
                  <a:ea typeface="+mn-ea"/>
                  <a:cs typeface="+mn-cs"/>
                </a:rPr>
                <a:t>〖𝑭.𝑺.〗_𝑽=𝑴_𝑹/𝑴_𝑽 ≥𝟐.𝟓</a:t>
              </a:r>
              <a:endParaRPr lang="es-MX" sz="1100" b="1">
                <a:solidFill>
                  <a:schemeClr val="tx1"/>
                </a:solidFill>
                <a:effectLst/>
                <a:ea typeface="+mn-ea"/>
                <a:cs typeface="+mn-cs"/>
              </a:endParaRPr>
            </a:p>
          </xdr:txBody>
        </xdr:sp>
      </mc:Fallback>
    </mc:AlternateContent>
    <xdr:clientData/>
  </xdr:oneCellAnchor>
  <xdr:oneCellAnchor>
    <xdr:from>
      <xdr:col>2</xdr:col>
      <xdr:colOff>590550</xdr:colOff>
      <xdr:row>65</xdr:row>
      <xdr:rowOff>47625</xdr:rowOff>
    </xdr:from>
    <xdr:ext cx="1143000" cy="264560"/>
    <mc:AlternateContent xmlns:mc="http://schemas.openxmlformats.org/markup-compatibility/2006" xmlns:a14="http://schemas.microsoft.com/office/drawing/2010/main">
      <mc:Choice Requires="a14">
        <xdr:sp macro="" textlink="">
          <xdr:nvSpPr>
            <xdr:cNvPr id="6" name="5 CuadroTexto"/>
            <xdr:cNvSpPr txBox="1"/>
          </xdr:nvSpPr>
          <xdr:spPr>
            <a:xfrm>
              <a:off x="2762250" y="27051000"/>
              <a:ext cx="1143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b="1" i="1">
                            <a:solidFill>
                              <a:schemeClr val="tx1"/>
                            </a:solidFill>
                            <a:effectLst/>
                            <a:latin typeface="Cambria Math"/>
                            <a:ea typeface="+mn-ea"/>
                            <a:cs typeface="+mn-cs"/>
                          </a:rPr>
                        </m:ctrlPr>
                      </m:sSubPr>
                      <m:e>
                        <m:r>
                          <a:rPr lang="es-MX" sz="1100" b="1" i="1">
                            <a:solidFill>
                              <a:schemeClr val="tx1"/>
                            </a:solidFill>
                            <a:effectLst/>
                            <a:latin typeface="Cambria Math"/>
                            <a:ea typeface="+mn-ea"/>
                            <a:cs typeface="+mn-cs"/>
                          </a:rPr>
                          <m:t>𝝈</m:t>
                        </m:r>
                      </m:e>
                      <m:sub>
                        <m:r>
                          <a:rPr lang="es-MX" sz="1100" b="1" i="1">
                            <a:solidFill>
                              <a:schemeClr val="tx1"/>
                            </a:solidFill>
                            <a:effectLst/>
                            <a:latin typeface="Cambria Math"/>
                            <a:ea typeface="+mn-ea"/>
                            <a:cs typeface="+mn-cs"/>
                          </a:rPr>
                          <m:t>𝒗</m:t>
                        </m:r>
                      </m:sub>
                    </m:sSub>
                    <m:r>
                      <a:rPr lang="es-MX" sz="1100" b="1" i="1">
                        <a:solidFill>
                          <a:schemeClr val="tx1"/>
                        </a:solidFill>
                        <a:effectLst/>
                        <a:latin typeface="Cambria Math"/>
                        <a:ea typeface="+mn-ea"/>
                        <a:cs typeface="+mn-cs"/>
                      </a:rPr>
                      <m:t>≤</m:t>
                    </m:r>
                    <m:sSub>
                      <m:sSubPr>
                        <m:ctrlPr>
                          <a:rPr lang="es-MX" sz="1100" b="1" i="1">
                            <a:solidFill>
                              <a:schemeClr val="tx1"/>
                            </a:solidFill>
                            <a:effectLst/>
                            <a:latin typeface="Cambria Math"/>
                            <a:ea typeface="+mn-ea"/>
                            <a:cs typeface="+mn-cs"/>
                          </a:rPr>
                        </m:ctrlPr>
                      </m:sSubPr>
                      <m:e>
                        <m:r>
                          <a:rPr lang="es-MX" sz="1100" b="1" i="1">
                            <a:solidFill>
                              <a:schemeClr val="tx1"/>
                            </a:solidFill>
                            <a:effectLst/>
                            <a:latin typeface="Cambria Math"/>
                            <a:ea typeface="+mn-ea"/>
                            <a:cs typeface="+mn-cs"/>
                          </a:rPr>
                          <m:t>𝒒</m:t>
                        </m:r>
                      </m:e>
                      <m:sub>
                        <m:r>
                          <a:rPr lang="es-MX" sz="1100" b="1" i="1">
                            <a:solidFill>
                              <a:schemeClr val="tx1"/>
                            </a:solidFill>
                            <a:effectLst/>
                            <a:latin typeface="Cambria Math"/>
                            <a:ea typeface="+mn-ea"/>
                            <a:cs typeface="+mn-cs"/>
                          </a:rPr>
                          <m:t>𝒂</m:t>
                        </m:r>
                      </m:sub>
                    </m:sSub>
                  </m:oMath>
                </m:oMathPara>
              </a14:m>
              <a:endParaRPr lang="es-MX" sz="1100" b="1">
                <a:solidFill>
                  <a:schemeClr val="tx1"/>
                </a:solidFill>
                <a:effectLst/>
                <a:ea typeface="+mn-ea"/>
                <a:cs typeface="+mn-cs"/>
              </a:endParaRPr>
            </a:p>
          </xdr:txBody>
        </xdr:sp>
      </mc:Choice>
      <mc:Fallback xmlns="">
        <xdr:sp macro="" textlink="">
          <xdr:nvSpPr>
            <xdr:cNvPr id="6" name="5 CuadroTexto"/>
            <xdr:cNvSpPr txBox="1"/>
          </xdr:nvSpPr>
          <xdr:spPr>
            <a:xfrm>
              <a:off x="2762250" y="27051000"/>
              <a:ext cx="1143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b="1" i="0">
                  <a:solidFill>
                    <a:schemeClr val="tx1"/>
                  </a:solidFill>
                  <a:effectLst/>
                  <a:latin typeface="Cambria Math"/>
                  <a:ea typeface="+mn-ea"/>
                  <a:cs typeface="+mn-cs"/>
                </a:rPr>
                <a:t>𝝈_𝒗≤𝒒_𝒂</a:t>
              </a:r>
              <a:endParaRPr lang="es-MX" sz="1100" b="1">
                <a:solidFill>
                  <a:schemeClr val="tx1"/>
                </a:solidFill>
                <a:effectLst/>
                <a:ea typeface="+mn-ea"/>
                <a:cs typeface="+mn-cs"/>
              </a:endParaRPr>
            </a:p>
          </xdr:txBody>
        </xdr:sp>
      </mc:Fallback>
    </mc:AlternateContent>
    <xdr:clientData/>
  </xdr:oneCellAnchor>
  <xdr:oneCellAnchor>
    <xdr:from>
      <xdr:col>1</xdr:col>
      <xdr:colOff>600075</xdr:colOff>
      <xdr:row>77</xdr:row>
      <xdr:rowOff>85725</xdr:rowOff>
    </xdr:from>
    <xdr:ext cx="3524251" cy="461963"/>
    <mc:AlternateContent xmlns:mc="http://schemas.openxmlformats.org/markup-compatibility/2006" xmlns:a14="http://schemas.microsoft.com/office/drawing/2010/main">
      <mc:Choice Requires="a14">
        <xdr:sp macro="" textlink="">
          <xdr:nvSpPr>
            <xdr:cNvPr id="7" name="6 CuadroTexto"/>
            <xdr:cNvSpPr txBox="1"/>
          </xdr:nvSpPr>
          <xdr:spPr>
            <a:xfrm>
              <a:off x="2028825" y="29375100"/>
              <a:ext cx="3524251" cy="4619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𝐹</m:t>
                        </m:r>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𝑆</m:t>
                        </m:r>
                        <m:r>
                          <a:rPr lang="es-MX" sz="1100" i="1">
                            <a:solidFill>
                              <a:schemeClr val="tx1"/>
                            </a:solidFill>
                            <a:effectLst/>
                            <a:latin typeface="Cambria Math"/>
                            <a:ea typeface="+mn-ea"/>
                            <a:cs typeface="+mn-cs"/>
                          </a:rPr>
                          <m:t>.</m:t>
                        </m:r>
                      </m:e>
                      <m:sub>
                        <m:r>
                          <a:rPr lang="es-MX" sz="1100" i="1">
                            <a:solidFill>
                              <a:schemeClr val="tx1"/>
                            </a:solidFill>
                            <a:effectLst/>
                            <a:latin typeface="Cambria Math"/>
                            <a:ea typeface="+mn-ea"/>
                            <a:cs typeface="+mn-cs"/>
                          </a:rPr>
                          <m:t>𝑑𝑒𝑠</m:t>
                        </m:r>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𝑝𝑟𝑖𝑚𝑒𝑟</m:t>
                        </m:r>
                        <m:r>
                          <a:rPr lang="es-MX" sz="1100" i="1">
                            <a:solidFill>
                              <a:schemeClr val="tx1"/>
                            </a:solidFill>
                            <a:effectLst/>
                            <a:latin typeface="Cambria Math"/>
                            <a:ea typeface="+mn-ea"/>
                            <a:cs typeface="+mn-cs"/>
                          </a:rPr>
                          <m:t> </m:t>
                        </m:r>
                        <m:r>
                          <a:rPr lang="es-MX" sz="1100" i="1">
                            <a:solidFill>
                              <a:schemeClr val="tx1"/>
                            </a:solidFill>
                            <a:effectLst/>
                            <a:latin typeface="Cambria Math"/>
                            <a:ea typeface="+mn-ea"/>
                            <a:cs typeface="+mn-cs"/>
                          </a:rPr>
                          <m:t>𝑟𝑒𝑓𝑢𝑒𝑟𝑧𝑜</m:t>
                        </m:r>
                      </m:sub>
                    </m:sSub>
                    <m:r>
                      <a:rPr lang="es-MX" sz="1100" i="1">
                        <a:solidFill>
                          <a:schemeClr val="tx1"/>
                        </a:solidFill>
                        <a:effectLst/>
                        <a:latin typeface="Cambria Math"/>
                        <a:ea typeface="Cambria Math"/>
                        <a:cs typeface="+mn-cs"/>
                      </a:rPr>
                      <m:t>≥</m:t>
                    </m:r>
                    <m:r>
                      <a:rPr lang="es-MX" sz="1100" b="0" i="1">
                        <a:solidFill>
                          <a:schemeClr val="tx1"/>
                        </a:solidFill>
                        <a:effectLst/>
                        <a:latin typeface="Cambria Math"/>
                        <a:ea typeface="Cambria Math"/>
                        <a:cs typeface="+mn-cs"/>
                      </a:rPr>
                      <m:t>1.5</m:t>
                    </m:r>
                  </m:oMath>
                </m:oMathPara>
              </a14:m>
              <a:endParaRPr lang="es-MX" sz="1100" b="0">
                <a:solidFill>
                  <a:schemeClr val="tx1"/>
                </a:solidFill>
                <a:effectLst/>
                <a:latin typeface="+mn-lt"/>
                <a:ea typeface="Cambria Math"/>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MX" sz="1100">
                <a:solidFill>
                  <a:schemeClr val="tx1"/>
                </a:solidFill>
                <a:effectLst/>
                <a:latin typeface="+mn-lt"/>
                <a:ea typeface="+mn-ea"/>
                <a:cs typeface="+mn-cs"/>
              </a:endParaRPr>
            </a:p>
            <a:p>
              <a:r>
                <a:rPr lang="es-MX" sz="1100"/>
                <a:t>|</a:t>
              </a:r>
            </a:p>
          </xdr:txBody>
        </xdr:sp>
      </mc:Choice>
      <mc:Fallback xmlns="">
        <xdr:sp macro="" textlink="">
          <xdr:nvSpPr>
            <xdr:cNvPr id="7" name="6 CuadroTexto"/>
            <xdr:cNvSpPr txBox="1"/>
          </xdr:nvSpPr>
          <xdr:spPr>
            <a:xfrm>
              <a:off x="2028825" y="29375100"/>
              <a:ext cx="3524251" cy="4619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1100" i="0">
                  <a:solidFill>
                    <a:schemeClr val="tx1"/>
                  </a:solidFill>
                  <a:effectLst/>
                  <a:latin typeface="Cambria Math"/>
                  <a:ea typeface="+mn-ea"/>
                  <a:cs typeface="+mn-cs"/>
                </a:rPr>
                <a:t>〖𝐹.𝑆.〗_(𝑑𝑒𝑠@𝑝𝑟𝑖𝑚𝑒𝑟 𝑟𝑒𝑓𝑢𝑒𝑟𝑧𝑜)</a:t>
              </a:r>
              <a:r>
                <a:rPr lang="es-MX" sz="1100" i="0">
                  <a:solidFill>
                    <a:schemeClr val="tx1"/>
                  </a:solidFill>
                  <a:effectLst/>
                  <a:latin typeface="Cambria Math"/>
                  <a:ea typeface="Cambria Math"/>
                  <a:cs typeface="+mn-cs"/>
                </a:rPr>
                <a:t>≥</a:t>
              </a:r>
              <a:r>
                <a:rPr lang="es-MX" sz="1100" b="0" i="0">
                  <a:solidFill>
                    <a:schemeClr val="tx1"/>
                  </a:solidFill>
                  <a:effectLst/>
                  <a:latin typeface="Cambria Math"/>
                  <a:ea typeface="Cambria Math"/>
                  <a:cs typeface="+mn-cs"/>
                </a:rPr>
                <a:t>1.5</a:t>
              </a:r>
              <a:endParaRPr lang="es-MX" sz="1100" b="0">
                <a:solidFill>
                  <a:schemeClr val="tx1"/>
                </a:solidFill>
                <a:effectLst/>
                <a:latin typeface="+mn-lt"/>
                <a:ea typeface="Cambria Math"/>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MX" sz="1100">
                <a:solidFill>
                  <a:schemeClr val="tx1"/>
                </a:solidFill>
                <a:effectLst/>
                <a:latin typeface="+mn-lt"/>
                <a:ea typeface="+mn-ea"/>
                <a:cs typeface="+mn-cs"/>
              </a:endParaRPr>
            </a:p>
            <a:p>
              <a:r>
                <a:rPr lang="es-MX" sz="1100"/>
                <a:t>|</a:t>
              </a:r>
            </a:p>
          </xdr:txBody>
        </xdr:sp>
      </mc:Fallback>
    </mc:AlternateContent>
    <xdr:clientData/>
  </xdr:oneCellAnchor>
  <xdr:twoCellAnchor editAs="oneCell">
    <xdr:from>
      <xdr:col>2</xdr:col>
      <xdr:colOff>0</xdr:colOff>
      <xdr:row>0</xdr:row>
      <xdr:rowOff>0</xdr:rowOff>
    </xdr:from>
    <xdr:to>
      <xdr:col>3</xdr:col>
      <xdr:colOff>304235</xdr:colOff>
      <xdr:row>5</xdr:row>
      <xdr:rowOff>104775</xdr:rowOff>
    </xdr:to>
    <xdr:pic>
      <xdr:nvPicPr>
        <xdr:cNvPr id="9" name="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0"/>
          <a:ext cx="106623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161925</xdr:colOff>
      <xdr:row>4</xdr:row>
      <xdr:rowOff>66674</xdr:rowOff>
    </xdr:from>
    <xdr:to>
      <xdr:col>7</xdr:col>
      <xdr:colOff>295275</xdr:colOff>
      <xdr:row>8</xdr:row>
      <xdr:rowOff>171449</xdr:rowOff>
    </xdr:to>
    <xdr:pic>
      <xdr:nvPicPr>
        <xdr:cNvPr id="10" name="9 Imagen" descr="C:\Documents and Settings\Solksjaer\Mis documentos\Copia de uach.gif"/>
        <xdr:cNvPicPr/>
      </xdr:nvPicPr>
      <xdr:blipFill>
        <a:blip xmlns:r="http://schemas.openxmlformats.org/officeDocument/2006/relationships" r:embed="rId2" r:link="rId3"/>
        <a:srcRect/>
        <a:stretch>
          <a:fillRect/>
        </a:stretch>
      </xdr:blipFill>
      <xdr:spPr bwMode="auto">
        <a:xfrm>
          <a:off x="4895850" y="828674"/>
          <a:ext cx="895350" cy="866775"/>
        </a:xfrm>
        <a:prstGeom prst="rect">
          <a:avLst/>
        </a:prstGeom>
        <a:noFill/>
        <a:ln w="9525">
          <a:noFill/>
          <a:miter lim="800000"/>
          <a:headEnd/>
          <a:tailEnd/>
        </a:ln>
      </xdr:spPr>
    </xdr:pic>
    <xdr:clientData/>
  </xdr:twoCellAnchor>
  <xdr:twoCellAnchor>
    <xdr:from>
      <xdr:col>1</xdr:col>
      <xdr:colOff>349250</xdr:colOff>
      <xdr:row>87</xdr:row>
      <xdr:rowOff>31750</xdr:rowOff>
    </xdr:from>
    <xdr:to>
      <xdr:col>4</xdr:col>
      <xdr:colOff>666750</xdr:colOff>
      <xdr:row>92</xdr:row>
      <xdr:rowOff>66387</xdr:rowOff>
    </xdr:to>
    <xdr:sp macro="[0]!Incrementolongitud" textlink="">
      <xdr:nvSpPr>
        <xdr:cNvPr id="11" name="10 CuadroTexto"/>
        <xdr:cNvSpPr txBox="1"/>
      </xdr:nvSpPr>
      <xdr:spPr>
        <a:xfrm>
          <a:off x="1111250" y="17621250"/>
          <a:ext cx="2603500" cy="987137"/>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ctr"/>
        <a:lstStyle/>
        <a:p>
          <a:pPr algn="ctr"/>
          <a:r>
            <a:rPr lang="es-MX" sz="1800" b="1"/>
            <a:t>INCREMENTO DE LONGITUD</a:t>
          </a:r>
          <a:r>
            <a:rPr lang="es-MX" sz="1800" b="1" baseline="0"/>
            <a:t> DE REFUERZO</a:t>
          </a:r>
          <a:endParaRPr lang="es-MX" sz="1800" b="1"/>
        </a:p>
      </xdr:txBody>
    </xdr:sp>
    <xdr:clientData/>
  </xdr:twoCellAnchor>
  <xdr:twoCellAnchor>
    <xdr:from>
      <xdr:col>6</xdr:col>
      <xdr:colOff>396875</xdr:colOff>
      <xdr:row>87</xdr:row>
      <xdr:rowOff>31750</xdr:rowOff>
    </xdr:from>
    <xdr:to>
      <xdr:col>10</xdr:col>
      <xdr:colOff>476251</xdr:colOff>
      <xdr:row>92</xdr:row>
      <xdr:rowOff>66387</xdr:rowOff>
    </xdr:to>
    <xdr:sp macro="[0]!CaracDesplante" textlink="">
      <xdr:nvSpPr>
        <xdr:cNvPr id="12" name="11 CuadroTexto"/>
        <xdr:cNvSpPr txBox="1"/>
      </xdr:nvSpPr>
      <xdr:spPr>
        <a:xfrm>
          <a:off x="4968875" y="17621250"/>
          <a:ext cx="3127376" cy="987137"/>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ctr"/>
        <a:lstStyle/>
        <a:p>
          <a:pPr algn="ctr"/>
          <a:r>
            <a:rPr lang="es-MX" sz="1800" b="1" baseline="0"/>
            <a:t>MEJORAR LAS PROPIEDADES DE LOS SUELOS DE CIMENTACION.</a:t>
          </a:r>
          <a:endParaRPr lang="es-MX" sz="1800" b="1"/>
        </a:p>
      </xdr:txBody>
    </xdr:sp>
    <xdr:clientData/>
  </xdr:twoCellAnchor>
  <xdr:twoCellAnchor>
    <xdr:from>
      <xdr:col>0</xdr:col>
      <xdr:colOff>285750</xdr:colOff>
      <xdr:row>94</xdr:row>
      <xdr:rowOff>127000</xdr:rowOff>
    </xdr:from>
    <xdr:to>
      <xdr:col>4</xdr:col>
      <xdr:colOff>682625</xdr:colOff>
      <xdr:row>99</xdr:row>
      <xdr:rowOff>161637</xdr:rowOff>
    </xdr:to>
    <xdr:sp macro="[0]!Analisisexterno" textlink="">
      <xdr:nvSpPr>
        <xdr:cNvPr id="13" name="12 CuadroTexto"/>
        <xdr:cNvSpPr txBox="1"/>
      </xdr:nvSpPr>
      <xdr:spPr>
        <a:xfrm>
          <a:off x="285750" y="19050000"/>
          <a:ext cx="3444875" cy="987137"/>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MX" sz="1800" b="1"/>
            <a:t>MEMORIA</a:t>
          </a:r>
          <a:r>
            <a:rPr lang="es-MX" sz="1800" b="1" baseline="0"/>
            <a:t> DE CALCULO DE ANALISIS EXTERNO</a:t>
          </a:r>
          <a:endParaRPr lang="es-MX" sz="1800" b="1"/>
        </a:p>
      </xdr:txBody>
    </xdr:sp>
    <xdr:clientData/>
  </xdr:twoCellAnchor>
  <xdr:twoCellAnchor>
    <xdr:from>
      <xdr:col>6</xdr:col>
      <xdr:colOff>396875</xdr:colOff>
      <xdr:row>95</xdr:row>
      <xdr:rowOff>0</xdr:rowOff>
    </xdr:from>
    <xdr:to>
      <xdr:col>11</xdr:col>
      <xdr:colOff>31750</xdr:colOff>
      <xdr:row>100</xdr:row>
      <xdr:rowOff>34637</xdr:rowOff>
    </xdr:to>
    <xdr:sp macro="[0]!AnalisisINTERNO" textlink="">
      <xdr:nvSpPr>
        <xdr:cNvPr id="14" name="13 CuadroTexto"/>
        <xdr:cNvSpPr txBox="1"/>
      </xdr:nvSpPr>
      <xdr:spPr>
        <a:xfrm>
          <a:off x="4968875" y="19113500"/>
          <a:ext cx="3444875" cy="987137"/>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MX" sz="1800" b="1"/>
            <a:t>MEMORIA</a:t>
          </a:r>
          <a:r>
            <a:rPr lang="es-MX" sz="1800" b="1" baseline="0"/>
            <a:t> DE CALCULO DE ANALISIS INTERNO</a:t>
          </a:r>
          <a:endParaRPr lang="es-MX" sz="1800" b="1"/>
        </a:p>
      </xdr:txBody>
    </xdr:sp>
    <xdr:clientData/>
  </xdr:twoCellAnchor>
  <xdr:twoCellAnchor>
    <xdr:from>
      <xdr:col>2</xdr:col>
      <xdr:colOff>174625</xdr:colOff>
      <xdr:row>102</xdr:row>
      <xdr:rowOff>31750</xdr:rowOff>
    </xdr:from>
    <xdr:to>
      <xdr:col>4</xdr:col>
      <xdr:colOff>676852</xdr:colOff>
      <xdr:row>107</xdr:row>
      <xdr:rowOff>66387</xdr:rowOff>
    </xdr:to>
    <xdr:sp macro="[0]!REGRESAR2" textlink="">
      <xdr:nvSpPr>
        <xdr:cNvPr id="15" name="14 CuadroTexto"/>
        <xdr:cNvSpPr txBox="1"/>
      </xdr:nvSpPr>
      <xdr:spPr>
        <a:xfrm>
          <a:off x="1698625" y="20478750"/>
          <a:ext cx="2026227" cy="987137"/>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MX" sz="1800" b="1"/>
            <a:t>REGRESAR AL MENU DE INICIO</a:t>
          </a:r>
        </a:p>
      </xdr:txBody>
    </xdr:sp>
    <xdr:clientData/>
  </xdr:twoCellAnchor>
  <xdr:twoCellAnchor editAs="oneCell">
    <xdr:from>
      <xdr:col>10</xdr:col>
      <xdr:colOff>206375</xdr:colOff>
      <xdr:row>0</xdr:row>
      <xdr:rowOff>47625</xdr:rowOff>
    </xdr:from>
    <xdr:to>
      <xdr:col>12</xdr:col>
      <xdr:colOff>573409</xdr:colOff>
      <xdr:row>4</xdr:row>
      <xdr:rowOff>115659</xdr:rowOff>
    </xdr:to>
    <xdr:pic>
      <xdr:nvPicPr>
        <xdr:cNvPr id="16" name="15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26375" y="47625"/>
          <a:ext cx="1891034" cy="8300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412751</xdr:colOff>
      <xdr:row>102</xdr:row>
      <xdr:rowOff>95250</xdr:rowOff>
    </xdr:from>
    <xdr:to>
      <xdr:col>9</xdr:col>
      <xdr:colOff>127001</xdr:colOff>
      <xdr:row>107</xdr:row>
      <xdr:rowOff>31750</xdr:rowOff>
    </xdr:to>
    <xdr:sp macro="[0]!Diseño" textlink="">
      <xdr:nvSpPr>
        <xdr:cNvPr id="17" name="16 CuadroTexto"/>
        <xdr:cNvSpPr txBox="1"/>
      </xdr:nvSpPr>
      <xdr:spPr>
        <a:xfrm>
          <a:off x="4984751" y="20542250"/>
          <a:ext cx="2000250" cy="88900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marL="0" indent="0" algn="ctr"/>
          <a:r>
            <a:rPr lang="es-MX" sz="1800" b="1">
              <a:solidFill>
                <a:schemeClr val="lt1"/>
              </a:solidFill>
              <a:latin typeface="+mn-lt"/>
              <a:ea typeface="+mn-ea"/>
              <a:cs typeface="+mn-cs"/>
            </a:rPr>
            <a:t>HOJA DE DISEÑO FINAL</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304235</xdr:colOff>
      <xdr:row>5</xdr:row>
      <xdr:rowOff>104775</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23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161925</xdr:colOff>
      <xdr:row>4</xdr:row>
      <xdr:rowOff>66674</xdr:rowOff>
    </xdr:from>
    <xdr:to>
      <xdr:col>7</xdr:col>
      <xdr:colOff>295275</xdr:colOff>
      <xdr:row>8</xdr:row>
      <xdr:rowOff>171449</xdr:rowOff>
    </xdr:to>
    <xdr:pic>
      <xdr:nvPicPr>
        <xdr:cNvPr id="4" name="3 Imagen" descr="C:\Documents and Settings\Solksjaer\Mis documentos\Copia de uach.gif"/>
        <xdr:cNvPicPr/>
      </xdr:nvPicPr>
      <xdr:blipFill>
        <a:blip xmlns:r="http://schemas.openxmlformats.org/officeDocument/2006/relationships" r:embed="rId2" r:link="rId3"/>
        <a:srcRect/>
        <a:stretch>
          <a:fillRect/>
        </a:stretch>
      </xdr:blipFill>
      <xdr:spPr bwMode="auto">
        <a:xfrm>
          <a:off x="3209925" y="828674"/>
          <a:ext cx="895350" cy="866775"/>
        </a:xfrm>
        <a:prstGeom prst="rect">
          <a:avLst/>
        </a:prstGeom>
        <a:noFill/>
        <a:ln w="9525">
          <a:noFill/>
          <a:miter lim="800000"/>
          <a:headEnd/>
          <a:tailEnd/>
        </a:ln>
      </xdr:spPr>
    </xdr:pic>
    <xdr:clientData/>
  </xdr:twoCellAnchor>
  <xdr:oneCellAnchor>
    <xdr:from>
      <xdr:col>1</xdr:col>
      <xdr:colOff>571498</xdr:colOff>
      <xdr:row>14</xdr:row>
      <xdr:rowOff>166687</xdr:rowOff>
    </xdr:from>
    <xdr:ext cx="2762251" cy="442429"/>
    <mc:AlternateContent xmlns:mc="http://schemas.openxmlformats.org/markup-compatibility/2006" xmlns:a14="http://schemas.microsoft.com/office/drawing/2010/main">
      <mc:Choice Requires="a14">
        <xdr:sp macro="" textlink="">
          <xdr:nvSpPr>
            <xdr:cNvPr id="5" name="4 CuadroTexto"/>
            <xdr:cNvSpPr txBox="1"/>
          </xdr:nvSpPr>
          <xdr:spPr>
            <a:xfrm>
              <a:off x="1333498" y="3062287"/>
              <a:ext cx="2762251"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s-MX" sz="1100" i="1">
                        <a:solidFill>
                          <a:schemeClr val="tx1"/>
                        </a:solidFill>
                        <a:effectLst/>
                        <a:latin typeface="Cambria Math"/>
                        <a:ea typeface="+mn-ea"/>
                        <a:cs typeface="+mn-cs"/>
                      </a:rPr>
                      <m:t>𝐿𝑒</m:t>
                    </m:r>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r>
                          <a:rPr lang="es-MX" sz="1100" i="1">
                            <a:solidFill>
                              <a:schemeClr val="tx1"/>
                            </a:solidFill>
                            <a:effectLst/>
                            <a:latin typeface="Cambria Math"/>
                            <a:ea typeface="+mn-ea"/>
                            <a:cs typeface="+mn-cs"/>
                          </a:rPr>
                          <m:t>1.5∙</m:t>
                        </m:r>
                        <m:r>
                          <a:rPr lang="es-MX" sz="1100" i="1">
                            <a:solidFill>
                              <a:schemeClr val="tx1"/>
                            </a:solidFill>
                            <a:effectLst/>
                            <a:latin typeface="Cambria Math"/>
                            <a:ea typeface="+mn-ea"/>
                            <a:cs typeface="+mn-cs"/>
                          </a:rPr>
                          <m:t>𝑇𝑚𝑎𝑥</m:t>
                        </m:r>
                      </m:num>
                      <m:den>
                        <m:r>
                          <a:rPr lang="es-MX" sz="1100" i="1">
                            <a:solidFill>
                              <a:schemeClr val="tx1"/>
                            </a:solidFill>
                            <a:effectLst/>
                            <a:latin typeface="Cambria Math"/>
                            <a:ea typeface="+mn-ea"/>
                            <a:cs typeface="+mn-cs"/>
                          </a:rPr>
                          <m:t>𝐶</m:t>
                        </m:r>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𝑡𝑎𝑛</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Cambria Math"/>
                                <a:cs typeface="+mn-cs"/>
                              </a:rPr>
                              <m:t>𝜑</m:t>
                            </m:r>
                          </m:e>
                          <m:sub>
                            <m:r>
                              <a:rPr lang="es-MX" sz="1100" b="0" i="1">
                                <a:solidFill>
                                  <a:schemeClr val="tx1"/>
                                </a:solidFill>
                                <a:effectLst/>
                                <a:latin typeface="Cambria Math"/>
                                <a:ea typeface="+mn-ea"/>
                                <a:cs typeface="+mn-cs"/>
                              </a:rPr>
                              <m:t>𝑟</m:t>
                            </m:r>
                          </m:sub>
                        </m:sSub>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𝐶𝑖</m:t>
                        </m:r>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𝛾</m:t>
                            </m:r>
                          </m:e>
                          <m:sub>
                            <m:r>
                              <a:rPr lang="es-MX" sz="1100" i="1">
                                <a:solidFill>
                                  <a:schemeClr val="tx1"/>
                                </a:solidFill>
                                <a:effectLst/>
                                <a:latin typeface="Cambria Math"/>
                                <a:ea typeface="+mn-ea"/>
                                <a:cs typeface="+mn-cs"/>
                              </a:rPr>
                              <m:t>𝑟</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𝑍</m:t>
                            </m:r>
                          </m:e>
                          <m:sub>
                            <m:r>
                              <a:rPr lang="es-MX" sz="1100" i="1">
                                <a:solidFill>
                                  <a:schemeClr val="tx1"/>
                                </a:solidFill>
                                <a:effectLst/>
                                <a:latin typeface="Cambria Math"/>
                                <a:ea typeface="+mn-ea"/>
                                <a:cs typeface="+mn-cs"/>
                              </a:rPr>
                              <m:t>𝑖</m:t>
                            </m:r>
                          </m:sub>
                        </m:sSub>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𝑅𝑐</m:t>
                        </m:r>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𝛼</m:t>
                        </m:r>
                      </m:den>
                    </m:f>
                    <m:r>
                      <a:rPr lang="es-MX" sz="1100" i="1">
                        <a:solidFill>
                          <a:schemeClr val="tx1"/>
                        </a:solidFill>
                        <a:effectLst/>
                        <a:latin typeface="Cambria Math"/>
                        <a:ea typeface="+mn-ea"/>
                        <a:cs typeface="+mn-cs"/>
                      </a:rPr>
                      <m:t>≥1</m:t>
                    </m:r>
                    <m:r>
                      <a:rPr lang="es-MX" sz="1100" i="1">
                        <a:solidFill>
                          <a:schemeClr val="tx1"/>
                        </a:solidFill>
                        <a:effectLst/>
                        <a:latin typeface="Cambria Math"/>
                        <a:ea typeface="+mn-ea"/>
                        <a:cs typeface="+mn-cs"/>
                      </a:rPr>
                      <m:t>𝑚</m:t>
                    </m:r>
                  </m:oMath>
                </m:oMathPara>
              </a14:m>
              <a:endParaRPr lang="es-MX" sz="1100"/>
            </a:p>
          </xdr:txBody>
        </xdr:sp>
      </mc:Choice>
      <mc:Fallback xmlns="">
        <xdr:sp macro="" textlink="">
          <xdr:nvSpPr>
            <xdr:cNvPr id="5" name="4 CuadroTexto"/>
            <xdr:cNvSpPr txBox="1"/>
          </xdr:nvSpPr>
          <xdr:spPr>
            <a:xfrm>
              <a:off x="1333498" y="3062287"/>
              <a:ext cx="2762251"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i="0">
                  <a:solidFill>
                    <a:schemeClr val="tx1"/>
                  </a:solidFill>
                  <a:effectLst/>
                  <a:latin typeface="Cambria Math"/>
                  <a:ea typeface="+mn-ea"/>
                  <a:cs typeface="+mn-cs"/>
                </a:rPr>
                <a:t>𝐿𝑒≥(1.5∙𝑇𝑚𝑎𝑥)/(𝐶∙𝑡𝑎𝑛</a:t>
              </a:r>
              <a:r>
                <a:rPr lang="es-MX" sz="1100" i="0">
                  <a:solidFill>
                    <a:schemeClr val="tx1"/>
                  </a:solidFill>
                  <a:effectLst/>
                  <a:latin typeface="Cambria Math"/>
                  <a:ea typeface="Cambria Math"/>
                  <a:cs typeface="+mn-cs"/>
                </a:rPr>
                <a:t>𝜑</a:t>
              </a:r>
              <a:r>
                <a:rPr lang="es-MX" sz="1100" i="0">
                  <a:solidFill>
                    <a:schemeClr val="tx1"/>
                  </a:solidFill>
                  <a:effectLst/>
                  <a:latin typeface="Cambria Math"/>
                  <a:ea typeface="+mn-ea"/>
                  <a:cs typeface="+mn-cs"/>
                </a:rPr>
                <a:t>_</a:t>
              </a:r>
              <a:r>
                <a:rPr lang="es-MX" sz="1100" b="0" i="0">
                  <a:solidFill>
                    <a:schemeClr val="tx1"/>
                  </a:solidFill>
                  <a:effectLst/>
                  <a:latin typeface="Cambria Math"/>
                  <a:ea typeface="+mn-ea"/>
                  <a:cs typeface="+mn-cs"/>
                </a:rPr>
                <a:t>𝑟</a:t>
              </a:r>
              <a:r>
                <a:rPr lang="es-MX" sz="1100" i="0">
                  <a:solidFill>
                    <a:schemeClr val="tx1"/>
                  </a:solidFill>
                  <a:effectLst/>
                  <a:latin typeface="Cambria Math"/>
                  <a:ea typeface="+mn-ea"/>
                  <a:cs typeface="+mn-cs"/>
                </a:rPr>
                <a:t>∙𝐶𝑖∙𝛾_𝑟∙𝑍_𝑖∙𝑅𝑐∙𝛼)≥1𝑚</a:t>
              </a:r>
              <a:endParaRPr lang="es-MX" sz="1100"/>
            </a:p>
          </xdr:txBody>
        </xdr:sp>
      </mc:Fallback>
    </mc:AlternateContent>
    <xdr:clientData/>
  </xdr:oneCellAnchor>
  <xdr:oneCellAnchor>
    <xdr:from>
      <xdr:col>1</xdr:col>
      <xdr:colOff>409575</xdr:colOff>
      <xdr:row>21</xdr:row>
      <xdr:rowOff>157162</xdr:rowOff>
    </xdr:from>
    <xdr:ext cx="714375" cy="264560"/>
    <mc:AlternateContent xmlns:mc="http://schemas.openxmlformats.org/markup-compatibility/2006" xmlns:a14="http://schemas.microsoft.com/office/drawing/2010/main">
      <mc:Choice Requires="a14">
        <xdr:sp macro="" textlink="">
          <xdr:nvSpPr>
            <xdr:cNvPr id="6" name="5 CuadroTexto"/>
            <xdr:cNvSpPr txBox="1"/>
          </xdr:nvSpPr>
          <xdr:spPr>
            <a:xfrm>
              <a:off x="1171575" y="4424362"/>
              <a:ext cx="7143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m:rPr>
                        <m:nor/>
                      </m:rPr>
                      <a:rPr lang="es-MX" sz="1100" i="1">
                        <a:solidFill>
                          <a:schemeClr val="tx1"/>
                        </a:solidFill>
                        <a:effectLst/>
                        <a:latin typeface="+mn-lt"/>
                        <a:ea typeface="+mn-ea"/>
                        <a:cs typeface="+mn-cs"/>
                      </a:rPr>
                      <m:t>R</m:t>
                    </m:r>
                    <m:r>
                      <m:rPr>
                        <m:nor/>
                      </m:rPr>
                      <a:rPr lang="es-MX" sz="1100" i="1" baseline="-25000">
                        <a:solidFill>
                          <a:schemeClr val="tx1"/>
                        </a:solidFill>
                        <a:effectLst/>
                        <a:latin typeface="+mn-lt"/>
                        <a:ea typeface="+mn-ea"/>
                        <a:cs typeface="+mn-cs"/>
                      </a:rPr>
                      <m:t>c</m:t>
                    </m:r>
                    <m:r>
                      <m:rPr>
                        <m:nor/>
                      </m:rPr>
                      <a:rPr lang="es-MX" sz="1100" i="1">
                        <a:solidFill>
                          <a:schemeClr val="tx1"/>
                        </a:solidFill>
                        <a:effectLst/>
                        <a:latin typeface="+mn-lt"/>
                        <a:ea typeface="+mn-ea"/>
                        <a:cs typeface="+mn-cs"/>
                      </a:rPr>
                      <m:t> = </m:t>
                    </m:r>
                    <m:r>
                      <m:rPr>
                        <m:nor/>
                      </m:rPr>
                      <a:rPr lang="es-MX" sz="1100" i="1">
                        <a:solidFill>
                          <a:schemeClr val="tx1"/>
                        </a:solidFill>
                        <a:effectLst/>
                        <a:latin typeface="+mn-lt"/>
                        <a:ea typeface="+mn-ea"/>
                        <a:cs typeface="+mn-cs"/>
                      </a:rPr>
                      <m:t>b</m:t>
                    </m:r>
                    <m:r>
                      <m:rPr>
                        <m:nor/>
                      </m:rPr>
                      <a:rPr lang="es-MX" sz="1100" i="1">
                        <a:solidFill>
                          <a:schemeClr val="tx1"/>
                        </a:solidFill>
                        <a:effectLst/>
                        <a:latin typeface="+mn-lt"/>
                        <a:ea typeface="+mn-ea"/>
                        <a:cs typeface="+mn-cs"/>
                      </a:rPr>
                      <m:t>/</m:t>
                    </m:r>
                    <m:r>
                      <m:rPr>
                        <m:nor/>
                      </m:rPr>
                      <a:rPr lang="es-MX" sz="1100" i="1">
                        <a:solidFill>
                          <a:schemeClr val="tx1"/>
                        </a:solidFill>
                        <a:effectLst/>
                        <a:latin typeface="+mn-lt"/>
                        <a:ea typeface="+mn-ea"/>
                        <a:cs typeface="+mn-cs"/>
                      </a:rPr>
                      <m:t>Sh</m:t>
                    </m:r>
                  </m:oMath>
                </m:oMathPara>
              </a14:m>
              <a:endParaRPr lang="es-MX" sz="1100"/>
            </a:p>
          </xdr:txBody>
        </xdr:sp>
      </mc:Choice>
      <mc:Fallback xmlns="">
        <xdr:sp macro="" textlink="">
          <xdr:nvSpPr>
            <xdr:cNvPr id="6" name="5 CuadroTexto"/>
            <xdr:cNvSpPr txBox="1"/>
          </xdr:nvSpPr>
          <xdr:spPr>
            <a:xfrm>
              <a:off x="1171575" y="4424362"/>
              <a:ext cx="7143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i="0">
                  <a:solidFill>
                    <a:schemeClr val="tx1"/>
                  </a:solidFill>
                  <a:effectLst/>
                  <a:latin typeface="Cambria Math"/>
                  <a:ea typeface="+mn-ea"/>
                  <a:cs typeface="+mn-cs"/>
                </a:rPr>
                <a:t>"R</a:t>
              </a:r>
              <a:r>
                <a:rPr lang="es-MX" sz="1100" i="0" baseline="-25000">
                  <a:solidFill>
                    <a:schemeClr val="tx1"/>
                  </a:solidFill>
                  <a:effectLst/>
                  <a:latin typeface="Cambria Math"/>
                  <a:ea typeface="+mn-ea"/>
                  <a:cs typeface="+mn-cs"/>
                </a:rPr>
                <a:t>c</a:t>
              </a:r>
              <a:r>
                <a:rPr lang="es-MX" sz="1100" i="0">
                  <a:solidFill>
                    <a:schemeClr val="tx1"/>
                  </a:solidFill>
                  <a:effectLst/>
                  <a:latin typeface="Cambria Math"/>
                  <a:ea typeface="+mn-ea"/>
                  <a:cs typeface="+mn-cs"/>
                </a:rPr>
                <a:t> = b/S</a:t>
              </a:r>
              <a:r>
                <a:rPr lang="es-MX" sz="1100" i="0" baseline="-25000">
                  <a:solidFill>
                    <a:schemeClr val="tx1"/>
                  </a:solidFill>
                  <a:effectLst/>
                  <a:latin typeface="Cambria Math"/>
                  <a:ea typeface="+mn-ea"/>
                  <a:cs typeface="+mn-cs"/>
                </a:rPr>
                <a:t>h</a:t>
              </a:r>
              <a:r>
                <a:rPr lang="es-MX" sz="1100" i="0" baseline="-25000">
                  <a:solidFill>
                    <a:schemeClr val="tx1"/>
                  </a:solidFill>
                  <a:effectLst/>
                  <a:latin typeface="+mn-lt"/>
                  <a:ea typeface="+mn-ea"/>
                  <a:cs typeface="+mn-cs"/>
                </a:rPr>
                <a:t>"</a:t>
              </a:r>
              <a:endParaRPr lang="es-MX" sz="1100"/>
            </a:p>
          </xdr:txBody>
        </xdr:sp>
      </mc:Fallback>
    </mc:AlternateContent>
    <xdr:clientData/>
  </xdr:oneCellAnchor>
  <xdr:oneCellAnchor>
    <xdr:from>
      <xdr:col>3</xdr:col>
      <xdr:colOff>742969</xdr:colOff>
      <xdr:row>61</xdr:row>
      <xdr:rowOff>138112</xdr:rowOff>
    </xdr:from>
    <xdr:ext cx="2324101" cy="300038"/>
    <mc:AlternateContent xmlns:mc="http://schemas.openxmlformats.org/markup-compatibility/2006" xmlns:a14="http://schemas.microsoft.com/office/drawing/2010/main">
      <mc:Choice Requires="a14">
        <xdr:sp macro="" textlink="">
          <xdr:nvSpPr>
            <xdr:cNvPr id="7" name="6 CuadroTexto"/>
            <xdr:cNvSpPr txBox="1"/>
          </xdr:nvSpPr>
          <xdr:spPr>
            <a:xfrm>
              <a:off x="3028969" y="12083583"/>
              <a:ext cx="2324101" cy="3000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𝐿</m:t>
                        </m:r>
                      </m:e>
                      <m:sub>
                        <m:r>
                          <a:rPr lang="es-MX" sz="1100" i="1">
                            <a:solidFill>
                              <a:schemeClr val="tx1"/>
                            </a:solidFill>
                            <a:effectLst/>
                            <a:latin typeface="Cambria Math"/>
                            <a:ea typeface="+mn-ea"/>
                            <a:cs typeface="+mn-cs"/>
                          </a:rPr>
                          <m:t>𝑎</m:t>
                        </m:r>
                      </m:sub>
                    </m:sSub>
                    <m:r>
                      <a:rPr lang="es-MX" sz="1100" i="1">
                        <a:solidFill>
                          <a:schemeClr val="tx1"/>
                        </a:solidFill>
                        <a:effectLst/>
                        <a:latin typeface="Cambria Math"/>
                        <a:ea typeface="+mn-ea"/>
                        <a:cs typeface="+mn-cs"/>
                      </a:rPr>
                      <m:t>=</m:t>
                    </m:r>
                    <m:d>
                      <m:dPr>
                        <m:ctrlPr>
                          <a:rPr lang="es-MX" sz="1100" i="1">
                            <a:solidFill>
                              <a:schemeClr val="tx1"/>
                            </a:solidFill>
                            <a:effectLst/>
                            <a:latin typeface="Cambria Math"/>
                            <a:ea typeface="+mn-ea"/>
                            <a:cs typeface="+mn-cs"/>
                          </a:rPr>
                        </m:ctrlPr>
                      </m:dPr>
                      <m:e>
                        <m:r>
                          <a:rPr lang="es-MX" sz="1100" i="1">
                            <a:solidFill>
                              <a:schemeClr val="tx1"/>
                            </a:solidFill>
                            <a:effectLst/>
                            <a:latin typeface="Cambria Math"/>
                            <a:ea typeface="+mn-ea"/>
                            <a:cs typeface="+mn-cs"/>
                          </a:rPr>
                          <m:t>𝐻</m:t>
                        </m:r>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𝑍𝑖</m:t>
                        </m:r>
                      </m:e>
                    </m:d>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𝑡𝑎𝑛</m:t>
                    </m:r>
                    <m:d>
                      <m:dPr>
                        <m:ctrlPr>
                          <a:rPr lang="es-MX" sz="1100" i="1">
                            <a:solidFill>
                              <a:schemeClr val="tx1"/>
                            </a:solidFill>
                            <a:effectLst/>
                            <a:latin typeface="Cambria Math"/>
                            <a:ea typeface="+mn-ea"/>
                            <a:cs typeface="+mn-cs"/>
                          </a:rPr>
                        </m:ctrlPr>
                      </m:dPr>
                      <m:e>
                        <m:r>
                          <a:rPr lang="es-MX" sz="1100" i="1">
                            <a:solidFill>
                              <a:schemeClr val="tx1"/>
                            </a:solidFill>
                            <a:effectLst/>
                            <a:latin typeface="Cambria Math"/>
                            <a:ea typeface="+mn-ea"/>
                            <a:cs typeface="+mn-cs"/>
                          </a:rPr>
                          <m:t>45−</m:t>
                        </m:r>
                        <m:f>
                          <m:fPr>
                            <m:type m:val="skw"/>
                            <m:ctrlPr>
                              <a:rPr lang="es-MX" sz="1100" i="1">
                                <a:solidFill>
                                  <a:schemeClr val="tx1"/>
                                </a:solidFill>
                                <a:effectLst/>
                                <a:latin typeface="Cambria Math"/>
                                <a:ea typeface="+mn-ea"/>
                                <a:cs typeface="+mn-cs"/>
                              </a:rPr>
                            </m:ctrlPr>
                          </m:fPr>
                          <m:num>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Cambria Math"/>
                                    <a:cs typeface="+mn-cs"/>
                                  </a:rPr>
                                  <m:t>𝜑</m:t>
                                </m:r>
                              </m:e>
                              <m:sub>
                                <m:r>
                                  <a:rPr lang="es-MX" sz="1100" b="0" i="1">
                                    <a:solidFill>
                                      <a:schemeClr val="tx1"/>
                                    </a:solidFill>
                                    <a:effectLst/>
                                    <a:latin typeface="Cambria Math"/>
                                    <a:ea typeface="+mn-ea"/>
                                    <a:cs typeface="+mn-cs"/>
                                  </a:rPr>
                                  <m:t>𝑟</m:t>
                                </m:r>
                              </m:sub>
                            </m:sSub>
                          </m:num>
                          <m:den>
                            <m:r>
                              <a:rPr lang="es-MX" sz="1100" i="1">
                                <a:solidFill>
                                  <a:schemeClr val="tx1"/>
                                </a:solidFill>
                                <a:effectLst/>
                                <a:latin typeface="Cambria Math"/>
                                <a:ea typeface="+mn-ea"/>
                                <a:cs typeface="+mn-cs"/>
                              </a:rPr>
                              <m:t>2</m:t>
                            </m:r>
                          </m:den>
                        </m:f>
                      </m:e>
                    </m:d>
                  </m:oMath>
                </m:oMathPara>
              </a14:m>
              <a:endParaRPr lang="es-MX" sz="1100"/>
            </a:p>
          </xdr:txBody>
        </xdr:sp>
      </mc:Choice>
      <mc:Fallback xmlns="">
        <xdr:sp macro="" textlink="">
          <xdr:nvSpPr>
            <xdr:cNvPr id="7" name="6 CuadroTexto"/>
            <xdr:cNvSpPr txBox="1"/>
          </xdr:nvSpPr>
          <xdr:spPr>
            <a:xfrm>
              <a:off x="3028969" y="12083583"/>
              <a:ext cx="2324101" cy="3000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MX" sz="1100" i="0">
                  <a:solidFill>
                    <a:schemeClr val="tx1"/>
                  </a:solidFill>
                  <a:effectLst/>
                  <a:latin typeface="+mn-lt"/>
                  <a:ea typeface="+mn-ea"/>
                  <a:cs typeface="+mn-cs"/>
                </a:rPr>
                <a:t>𝐿_𝑎=(𝐻−𝑍</a:t>
              </a:r>
              <a:r>
                <a:rPr lang="es-MX" sz="1100" b="0" i="0">
                  <a:solidFill>
                    <a:schemeClr val="tx1"/>
                  </a:solidFill>
                  <a:effectLst/>
                  <a:latin typeface="Cambria Math"/>
                  <a:ea typeface="+mn-ea"/>
                  <a:cs typeface="+mn-cs"/>
                </a:rPr>
                <a:t>𝑖</a:t>
              </a:r>
              <a:r>
                <a:rPr lang="es-MX" sz="1100" b="0" i="0">
                  <a:solidFill>
                    <a:schemeClr val="tx1"/>
                  </a:solidFill>
                  <a:effectLst/>
                  <a:latin typeface="+mn-lt"/>
                  <a:ea typeface="+mn-ea"/>
                  <a:cs typeface="+mn-cs"/>
                </a:rPr>
                <a:t>)</a:t>
              </a:r>
              <a:r>
                <a:rPr lang="es-MX" sz="1100" i="0">
                  <a:solidFill>
                    <a:schemeClr val="tx1"/>
                  </a:solidFill>
                  <a:effectLst/>
                  <a:latin typeface="+mn-lt"/>
                  <a:ea typeface="+mn-ea"/>
                  <a:cs typeface="+mn-cs"/>
                </a:rPr>
                <a:t>∙𝑡𝑎𝑛(45−</a:t>
              </a:r>
              <a:r>
                <a:rPr lang="es-MX" sz="1100" i="0">
                  <a:solidFill>
                    <a:schemeClr val="tx1"/>
                  </a:solidFill>
                  <a:effectLst/>
                  <a:latin typeface="Cambria Math"/>
                  <a:ea typeface="Cambria Math"/>
                  <a:cs typeface="+mn-cs"/>
                </a:rPr>
                <a:t>𝜑</a:t>
              </a:r>
              <a:r>
                <a:rPr lang="es-MX" sz="1100" i="0">
                  <a:solidFill>
                    <a:schemeClr val="tx1"/>
                  </a:solidFill>
                  <a:effectLst/>
                  <a:latin typeface="Cambria Math"/>
                  <a:ea typeface="+mn-ea"/>
                  <a:cs typeface="+mn-cs"/>
                </a:rPr>
                <a:t>_</a:t>
              </a:r>
              <a:r>
                <a:rPr lang="es-MX" sz="1100" b="0" i="0">
                  <a:solidFill>
                    <a:schemeClr val="tx1"/>
                  </a:solidFill>
                  <a:effectLst/>
                  <a:latin typeface="Cambria Math"/>
                  <a:ea typeface="+mn-ea"/>
                  <a:cs typeface="+mn-cs"/>
                </a:rPr>
                <a:t>𝑟</a:t>
              </a:r>
              <a:r>
                <a:rPr lang="es-MX" sz="1100" b="0" i="0">
                  <a:solidFill>
                    <a:schemeClr val="tx1"/>
                  </a:solidFill>
                  <a:effectLst/>
                  <a:latin typeface="+mn-lt"/>
                  <a:ea typeface="+mn-ea"/>
                  <a:cs typeface="+mn-cs"/>
                </a:rPr>
                <a:t>⁄</a:t>
              </a:r>
              <a:r>
                <a:rPr lang="es-MX" sz="1100" i="0">
                  <a:solidFill>
                    <a:schemeClr val="tx1"/>
                  </a:solidFill>
                  <a:effectLst/>
                  <a:latin typeface="+mn-lt"/>
                  <a:ea typeface="+mn-ea"/>
                  <a:cs typeface="+mn-cs"/>
                </a:rPr>
                <a:t>2)</a:t>
              </a:r>
              <a:endParaRPr lang="es-MX" sz="1100"/>
            </a:p>
          </xdr:txBody>
        </xdr:sp>
      </mc:Fallback>
    </mc:AlternateContent>
    <xdr:clientData/>
  </xdr:oneCellAnchor>
  <xdr:twoCellAnchor editAs="oneCell">
    <xdr:from>
      <xdr:col>10</xdr:col>
      <xdr:colOff>136070</xdr:colOff>
      <xdr:row>0</xdr:row>
      <xdr:rowOff>54430</xdr:rowOff>
    </xdr:from>
    <xdr:to>
      <xdr:col>12</xdr:col>
      <xdr:colOff>503104</xdr:colOff>
      <xdr:row>4</xdr:row>
      <xdr:rowOff>122464</xdr:rowOff>
    </xdr:to>
    <xdr:pic>
      <xdr:nvPicPr>
        <xdr:cNvPr id="8" name="7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123463" y="54430"/>
          <a:ext cx="1891034" cy="8300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136072</xdr:colOff>
      <xdr:row>2</xdr:row>
      <xdr:rowOff>54430</xdr:rowOff>
    </xdr:from>
    <xdr:to>
      <xdr:col>16</xdr:col>
      <xdr:colOff>435429</xdr:colOff>
      <xdr:row>7</xdr:row>
      <xdr:rowOff>54430</xdr:rowOff>
    </xdr:to>
    <xdr:sp macro="[0]!Diseño" textlink="">
      <xdr:nvSpPr>
        <xdr:cNvPr id="9" name="8 CuadroTexto"/>
        <xdr:cNvSpPr txBox="1"/>
      </xdr:nvSpPr>
      <xdr:spPr>
        <a:xfrm>
          <a:off x="11389179" y="435430"/>
          <a:ext cx="1850571" cy="95250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t"/>
        <a:lstStyle/>
        <a:p>
          <a:pPr marL="0" indent="0" algn="ctr"/>
          <a:r>
            <a:rPr lang="es-MX" sz="1800">
              <a:solidFill>
                <a:schemeClr val="lt1"/>
              </a:solidFill>
              <a:latin typeface="+mn-lt"/>
              <a:ea typeface="+mn-ea"/>
              <a:cs typeface="+mn-cs"/>
            </a:rPr>
            <a:t>REGRESAR A HOJA DE DISEÑO FINAL</a:t>
          </a:r>
        </a:p>
      </xdr:txBody>
    </xdr:sp>
    <xdr:clientData/>
  </xdr:twoCellAnchor>
  <xdr:twoCellAnchor>
    <xdr:from>
      <xdr:col>14</xdr:col>
      <xdr:colOff>272142</xdr:colOff>
      <xdr:row>131</xdr:row>
      <xdr:rowOff>68037</xdr:rowOff>
    </xdr:from>
    <xdr:to>
      <xdr:col>16</xdr:col>
      <xdr:colOff>571499</xdr:colOff>
      <xdr:row>136</xdr:row>
      <xdr:rowOff>13608</xdr:rowOff>
    </xdr:to>
    <xdr:sp macro="[0]!Diseño" textlink="">
      <xdr:nvSpPr>
        <xdr:cNvPr id="10" name="9 CuadroTexto"/>
        <xdr:cNvSpPr txBox="1"/>
      </xdr:nvSpPr>
      <xdr:spPr>
        <a:xfrm>
          <a:off x="11525249" y="27404787"/>
          <a:ext cx="1850571" cy="95250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t"/>
        <a:lstStyle/>
        <a:p>
          <a:pPr marL="0" indent="0" algn="ctr"/>
          <a:r>
            <a:rPr lang="es-MX" sz="1800">
              <a:solidFill>
                <a:schemeClr val="lt1"/>
              </a:solidFill>
              <a:latin typeface="+mn-lt"/>
              <a:ea typeface="+mn-ea"/>
              <a:cs typeface="+mn-cs"/>
            </a:rPr>
            <a:t>REGRESAR A HOJA DE DISEÑO FINAL</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748392</xdr:colOff>
      <xdr:row>0</xdr:row>
      <xdr:rowOff>27214</xdr:rowOff>
    </xdr:from>
    <xdr:to>
      <xdr:col>2</xdr:col>
      <xdr:colOff>290627</xdr:colOff>
      <xdr:row>5</xdr:row>
      <xdr:rowOff>131989</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392" y="27214"/>
          <a:ext cx="106623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161925</xdr:colOff>
      <xdr:row>4</xdr:row>
      <xdr:rowOff>66674</xdr:rowOff>
    </xdr:from>
    <xdr:to>
      <xdr:col>7</xdr:col>
      <xdr:colOff>295275</xdr:colOff>
      <xdr:row>8</xdr:row>
      <xdr:rowOff>171449</xdr:rowOff>
    </xdr:to>
    <xdr:pic>
      <xdr:nvPicPr>
        <xdr:cNvPr id="4" name="3 Imagen" descr="C:\Documents and Settings\Solksjaer\Mis documentos\Copia de uach.gif"/>
        <xdr:cNvPicPr/>
      </xdr:nvPicPr>
      <xdr:blipFill>
        <a:blip xmlns:r="http://schemas.openxmlformats.org/officeDocument/2006/relationships" r:embed="rId2" r:link="rId3"/>
        <a:srcRect/>
        <a:stretch>
          <a:fillRect/>
        </a:stretch>
      </xdr:blipFill>
      <xdr:spPr bwMode="auto">
        <a:xfrm>
          <a:off x="4905375" y="828674"/>
          <a:ext cx="895350" cy="866775"/>
        </a:xfrm>
        <a:prstGeom prst="rect">
          <a:avLst/>
        </a:prstGeom>
        <a:noFill/>
        <a:ln w="9525">
          <a:noFill/>
          <a:miter lim="800000"/>
          <a:headEnd/>
          <a:tailEnd/>
        </a:ln>
      </xdr:spPr>
    </xdr:pic>
    <xdr:clientData/>
  </xdr:twoCellAnchor>
  <xdr:oneCellAnchor>
    <xdr:from>
      <xdr:col>1</xdr:col>
      <xdr:colOff>352425</xdr:colOff>
      <xdr:row>16</xdr:row>
      <xdr:rowOff>138112</xdr:rowOff>
    </xdr:from>
    <xdr:ext cx="1038225" cy="264560"/>
    <mc:AlternateContent xmlns:mc="http://schemas.openxmlformats.org/markup-compatibility/2006" xmlns:a14="http://schemas.microsoft.com/office/drawing/2010/main">
      <mc:Choice Requires="a14">
        <xdr:sp macro="" textlink="">
          <xdr:nvSpPr>
            <xdr:cNvPr id="5" name="4 CuadroTexto"/>
            <xdr:cNvSpPr txBox="1"/>
          </xdr:nvSpPr>
          <xdr:spPr>
            <a:xfrm>
              <a:off x="1114425" y="3414712"/>
              <a:ext cx="10382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𝑃</m:t>
                        </m:r>
                      </m:e>
                      <m:sub>
                        <m:r>
                          <a:rPr lang="es-MX" sz="1100" i="1">
                            <a:solidFill>
                              <a:schemeClr val="tx1"/>
                            </a:solidFill>
                            <a:effectLst/>
                            <a:latin typeface="Cambria Math"/>
                            <a:ea typeface="+mn-ea"/>
                            <a:cs typeface="+mn-cs"/>
                          </a:rPr>
                          <m:t>𝐼</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𝐴</m:t>
                        </m:r>
                      </m:e>
                      <m:sub>
                        <m:r>
                          <a:rPr lang="es-MX" sz="1100" i="1">
                            <a:solidFill>
                              <a:schemeClr val="tx1"/>
                            </a:solidFill>
                            <a:effectLst/>
                            <a:latin typeface="Cambria Math"/>
                            <a:ea typeface="+mn-ea"/>
                            <a:cs typeface="+mn-cs"/>
                          </a:rPr>
                          <m:t>𝑚</m:t>
                        </m:r>
                      </m:sub>
                    </m:sSub>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𝑊</m:t>
                        </m:r>
                      </m:e>
                      <m:sub>
                        <m:r>
                          <a:rPr lang="es-MX" sz="1100" i="1">
                            <a:solidFill>
                              <a:schemeClr val="tx1"/>
                            </a:solidFill>
                            <a:effectLst/>
                            <a:latin typeface="Cambria Math"/>
                            <a:ea typeface="+mn-ea"/>
                            <a:cs typeface="+mn-cs"/>
                          </a:rPr>
                          <m:t>𝐴</m:t>
                        </m:r>
                      </m:sub>
                    </m:sSub>
                    <m:r>
                      <a:rPr lang="es-MX" sz="1100" i="1">
                        <a:solidFill>
                          <a:schemeClr val="tx1"/>
                        </a:solidFill>
                        <a:effectLst/>
                        <a:latin typeface="Cambria Math"/>
                        <a:ea typeface="+mn-ea"/>
                        <a:cs typeface="+mn-cs"/>
                      </a:rPr>
                      <m:t>  </m:t>
                    </m:r>
                  </m:oMath>
                </m:oMathPara>
              </a14:m>
              <a:endParaRPr lang="es-MX" sz="1100"/>
            </a:p>
          </xdr:txBody>
        </xdr:sp>
      </mc:Choice>
      <mc:Fallback xmlns="">
        <xdr:sp macro="" textlink="">
          <xdr:nvSpPr>
            <xdr:cNvPr id="5" name="4 CuadroTexto"/>
            <xdr:cNvSpPr txBox="1"/>
          </xdr:nvSpPr>
          <xdr:spPr>
            <a:xfrm>
              <a:off x="1114425" y="3414712"/>
              <a:ext cx="10382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i="0">
                  <a:solidFill>
                    <a:schemeClr val="tx1"/>
                  </a:solidFill>
                  <a:effectLst/>
                  <a:latin typeface="+mn-lt"/>
                  <a:ea typeface="+mn-ea"/>
                  <a:cs typeface="+mn-cs"/>
                </a:rPr>
                <a:t>𝑃_𝐼=𝐴_𝑚 𝑊_𝐴   </a:t>
              </a:r>
              <a:endParaRPr lang="es-MX" sz="1100"/>
            </a:p>
          </xdr:txBody>
        </xdr:sp>
      </mc:Fallback>
    </mc:AlternateContent>
    <xdr:clientData/>
  </xdr:oneCellAnchor>
  <xdr:oneCellAnchor>
    <xdr:from>
      <xdr:col>2</xdr:col>
      <xdr:colOff>314325</xdr:colOff>
      <xdr:row>18</xdr:row>
      <xdr:rowOff>161925</xdr:rowOff>
    </xdr:from>
    <xdr:ext cx="1293744" cy="264560"/>
    <mc:AlternateContent xmlns:mc="http://schemas.openxmlformats.org/markup-compatibility/2006" xmlns:a14="http://schemas.microsoft.com/office/drawing/2010/main">
      <mc:Choice Requires="a14">
        <xdr:sp macro="" textlink="">
          <xdr:nvSpPr>
            <xdr:cNvPr id="6" name="5 CuadroTexto"/>
            <xdr:cNvSpPr txBox="1"/>
          </xdr:nvSpPr>
          <xdr:spPr>
            <a:xfrm>
              <a:off x="1838325" y="3819525"/>
              <a:ext cx="129374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𝐴</m:t>
                        </m:r>
                      </m:e>
                      <m:sub>
                        <m:r>
                          <a:rPr lang="es-MX" sz="1100" i="1">
                            <a:solidFill>
                              <a:schemeClr val="tx1"/>
                            </a:solidFill>
                            <a:effectLst/>
                            <a:latin typeface="Cambria Math"/>
                            <a:ea typeface="+mn-ea"/>
                            <a:cs typeface="+mn-cs"/>
                          </a:rPr>
                          <m:t>𝑚</m:t>
                        </m:r>
                      </m:sub>
                    </m:sSub>
                    <m:r>
                      <a:rPr lang="es-MX" sz="1100" i="1">
                        <a:solidFill>
                          <a:schemeClr val="tx1"/>
                        </a:solidFill>
                        <a:effectLst/>
                        <a:latin typeface="Cambria Math"/>
                        <a:ea typeface="+mn-ea"/>
                        <a:cs typeface="+mn-cs"/>
                      </a:rPr>
                      <m:t>=</m:t>
                    </m:r>
                    <m:d>
                      <m:dPr>
                        <m:ctrlPr>
                          <a:rPr lang="es-MX" sz="1100" i="1">
                            <a:solidFill>
                              <a:schemeClr val="tx1"/>
                            </a:solidFill>
                            <a:effectLst/>
                            <a:latin typeface="Cambria Math"/>
                            <a:ea typeface="+mn-ea"/>
                            <a:cs typeface="+mn-cs"/>
                          </a:rPr>
                        </m:ctrlPr>
                      </m:dPr>
                      <m:e>
                        <m:r>
                          <a:rPr lang="es-MX" sz="1100" i="1">
                            <a:solidFill>
                              <a:schemeClr val="tx1"/>
                            </a:solidFill>
                            <a:effectLst/>
                            <a:latin typeface="Cambria Math"/>
                            <a:ea typeface="+mn-ea"/>
                            <a:cs typeface="+mn-cs"/>
                          </a:rPr>
                          <m:t>1.45−</m:t>
                        </m:r>
                        <m:r>
                          <a:rPr lang="es-MX" sz="1100" i="1">
                            <a:solidFill>
                              <a:schemeClr val="tx1"/>
                            </a:solidFill>
                            <a:effectLst/>
                            <a:latin typeface="Cambria Math"/>
                            <a:ea typeface="+mn-ea"/>
                            <a:cs typeface="+mn-cs"/>
                          </a:rPr>
                          <m:t>𝐴</m:t>
                        </m:r>
                      </m:e>
                    </m:d>
                    <m:r>
                      <a:rPr lang="es-MX" sz="1100" i="1">
                        <a:solidFill>
                          <a:schemeClr val="tx1"/>
                        </a:solidFill>
                        <a:effectLst/>
                        <a:latin typeface="Cambria Math"/>
                        <a:ea typeface="+mn-ea"/>
                        <a:cs typeface="+mn-cs"/>
                      </a:rPr>
                      <m:t>𝐴</m:t>
                    </m:r>
                  </m:oMath>
                </m:oMathPara>
              </a14:m>
              <a:endParaRPr lang="es-MX" sz="1100"/>
            </a:p>
          </xdr:txBody>
        </xdr:sp>
      </mc:Choice>
      <mc:Fallback xmlns="">
        <xdr:sp macro="" textlink="">
          <xdr:nvSpPr>
            <xdr:cNvPr id="6" name="5 CuadroTexto"/>
            <xdr:cNvSpPr txBox="1"/>
          </xdr:nvSpPr>
          <xdr:spPr>
            <a:xfrm>
              <a:off x="1838325" y="3819525"/>
              <a:ext cx="129374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i="0">
                  <a:solidFill>
                    <a:schemeClr val="tx1"/>
                  </a:solidFill>
                  <a:effectLst/>
                  <a:latin typeface="Cambria Math"/>
                  <a:ea typeface="+mn-ea"/>
                  <a:cs typeface="+mn-cs"/>
                </a:rPr>
                <a:t>𝐴_𝑚=(1.45−𝐴)𝐴</a:t>
              </a:r>
              <a:endParaRPr lang="es-MX" sz="1100"/>
            </a:p>
          </xdr:txBody>
        </xdr:sp>
      </mc:Fallback>
    </mc:AlternateContent>
    <xdr:clientData/>
  </xdr:oneCellAnchor>
  <xdr:oneCellAnchor>
    <xdr:from>
      <xdr:col>2</xdr:col>
      <xdr:colOff>266700</xdr:colOff>
      <xdr:row>27</xdr:row>
      <xdr:rowOff>109537</xdr:rowOff>
    </xdr:from>
    <xdr:ext cx="1524000" cy="242888"/>
    <mc:AlternateContent xmlns:mc="http://schemas.openxmlformats.org/markup-compatibility/2006" xmlns:a14="http://schemas.microsoft.com/office/drawing/2010/main">
      <mc:Choice Requires="a14">
        <xdr:sp macro="" textlink="">
          <xdr:nvSpPr>
            <xdr:cNvPr id="7" name="6 CuadroTexto"/>
            <xdr:cNvSpPr txBox="1"/>
          </xdr:nvSpPr>
          <xdr:spPr>
            <a:xfrm>
              <a:off x="1790700" y="5100637"/>
              <a:ext cx="1524000" cy="242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𝑊</m:t>
                        </m:r>
                      </m:e>
                      <m:sub>
                        <m:r>
                          <a:rPr lang="es-MX" sz="1100" i="1">
                            <a:solidFill>
                              <a:schemeClr val="tx1"/>
                            </a:solidFill>
                            <a:effectLst/>
                            <a:latin typeface="Cambria Math"/>
                            <a:ea typeface="+mn-ea"/>
                            <a:cs typeface="+mn-cs"/>
                          </a:rPr>
                          <m:t>𝐴</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𝐴</m:t>
                        </m:r>
                      </m:e>
                      <m:sub>
                        <m:r>
                          <a:rPr lang="es-MX" sz="1100" i="1">
                            <a:solidFill>
                              <a:schemeClr val="tx1"/>
                            </a:solidFill>
                            <a:effectLst/>
                            <a:latin typeface="Cambria Math"/>
                            <a:ea typeface="+mn-ea"/>
                            <a:cs typeface="+mn-cs"/>
                          </a:rPr>
                          <m:t>𝑧𝑜𝑛𝑎</m:t>
                        </m:r>
                        <m:r>
                          <a:rPr lang="es-MX" sz="1100" i="1">
                            <a:solidFill>
                              <a:schemeClr val="tx1"/>
                            </a:solidFill>
                            <a:effectLst/>
                            <a:latin typeface="Cambria Math"/>
                            <a:ea typeface="+mn-ea"/>
                            <a:cs typeface="+mn-cs"/>
                          </a:rPr>
                          <m:t> </m:t>
                        </m:r>
                        <m:r>
                          <a:rPr lang="es-MX" sz="1100" i="1">
                            <a:solidFill>
                              <a:schemeClr val="tx1"/>
                            </a:solidFill>
                            <a:effectLst/>
                            <a:latin typeface="Cambria Math"/>
                            <a:ea typeface="+mn-ea"/>
                            <a:cs typeface="+mn-cs"/>
                          </a:rPr>
                          <m:t>𝑎𝑐𝑡𝑖𝑣𝑎</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𝛾</m:t>
                        </m:r>
                      </m:e>
                      <m:sub>
                        <m:r>
                          <a:rPr lang="es-MX" sz="1100" i="1">
                            <a:solidFill>
                              <a:schemeClr val="tx1"/>
                            </a:solidFill>
                            <a:effectLst/>
                            <a:latin typeface="Cambria Math"/>
                            <a:ea typeface="+mn-ea"/>
                            <a:cs typeface="+mn-cs"/>
                          </a:rPr>
                          <m:t>𝑟</m:t>
                        </m:r>
                      </m:sub>
                    </m:sSub>
                  </m:oMath>
                </m:oMathPara>
              </a14:m>
              <a:endParaRPr lang="es-MX" sz="1100">
                <a:solidFill>
                  <a:schemeClr val="tx1"/>
                </a:solidFill>
                <a:effectLst/>
                <a:latin typeface="+mn-lt"/>
                <a:ea typeface="+mn-ea"/>
                <a:cs typeface="+mn-cs"/>
              </a:endParaRPr>
            </a:p>
            <a:p>
              <a:endParaRPr lang="es-MX" sz="1100"/>
            </a:p>
          </xdr:txBody>
        </xdr:sp>
      </mc:Choice>
      <mc:Fallback xmlns="">
        <xdr:sp macro="" textlink="">
          <xdr:nvSpPr>
            <xdr:cNvPr id="7" name="6 CuadroTexto"/>
            <xdr:cNvSpPr txBox="1"/>
          </xdr:nvSpPr>
          <xdr:spPr>
            <a:xfrm>
              <a:off x="1790700" y="5100637"/>
              <a:ext cx="1524000" cy="242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1100" i="0">
                  <a:solidFill>
                    <a:schemeClr val="tx1"/>
                  </a:solidFill>
                  <a:effectLst/>
                  <a:latin typeface="+mn-lt"/>
                  <a:ea typeface="+mn-ea"/>
                  <a:cs typeface="+mn-cs"/>
                </a:rPr>
                <a:t>𝑊_𝐴=𝐴_(𝑧𝑜𝑛𝑎 𝑎𝑐𝑡𝑖𝑣𝑎)∙𝛾_𝑟</a:t>
              </a:r>
              <a:endParaRPr lang="es-MX" sz="1100">
                <a:solidFill>
                  <a:schemeClr val="tx1"/>
                </a:solidFill>
                <a:effectLst/>
                <a:latin typeface="+mn-lt"/>
                <a:ea typeface="+mn-ea"/>
                <a:cs typeface="+mn-cs"/>
              </a:endParaRPr>
            </a:p>
            <a:p>
              <a:endParaRPr lang="es-MX" sz="1100"/>
            </a:p>
          </xdr:txBody>
        </xdr:sp>
      </mc:Fallback>
    </mc:AlternateContent>
    <xdr:clientData/>
  </xdr:oneCellAnchor>
  <xdr:oneCellAnchor>
    <xdr:from>
      <xdr:col>1</xdr:col>
      <xdr:colOff>175927</xdr:colOff>
      <xdr:row>21</xdr:row>
      <xdr:rowOff>71437</xdr:rowOff>
    </xdr:from>
    <xdr:ext cx="3040157" cy="629788"/>
    <mc:AlternateContent xmlns:mc="http://schemas.openxmlformats.org/markup-compatibility/2006" xmlns:a14="http://schemas.microsoft.com/office/drawing/2010/main">
      <mc:Choice Requires="a14">
        <xdr:sp macro="" textlink="">
          <xdr:nvSpPr>
            <xdr:cNvPr id="9" name="8 CuadroTexto"/>
            <xdr:cNvSpPr txBox="1"/>
          </xdr:nvSpPr>
          <xdr:spPr>
            <a:xfrm>
              <a:off x="937927" y="4296055"/>
              <a:ext cx="3040157" cy="629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𝐴</m:t>
                        </m:r>
                        <m:r>
                          <a:rPr lang="es-MX" sz="1100" b="0" i="1">
                            <a:solidFill>
                              <a:schemeClr val="tx1"/>
                            </a:solidFill>
                            <a:effectLst/>
                            <a:latin typeface="Cambria Math"/>
                            <a:ea typeface="+mn-ea"/>
                            <a:cs typeface="+mn-cs"/>
                          </a:rPr>
                          <m:t>𝑟𝑒𝑎</m:t>
                        </m:r>
                      </m:e>
                      <m:sub>
                        <m:r>
                          <a:rPr lang="es-MX" sz="1100" i="1">
                            <a:solidFill>
                              <a:schemeClr val="tx1"/>
                            </a:solidFill>
                            <a:effectLst/>
                            <a:latin typeface="Cambria Math"/>
                            <a:ea typeface="+mn-ea"/>
                            <a:cs typeface="+mn-cs"/>
                          </a:rPr>
                          <m:t>𝑧𝑜𝑛𝑎</m:t>
                        </m:r>
                        <m:r>
                          <a:rPr lang="es-MX" sz="1100" i="1">
                            <a:solidFill>
                              <a:schemeClr val="tx1"/>
                            </a:solidFill>
                            <a:effectLst/>
                            <a:latin typeface="Cambria Math"/>
                            <a:ea typeface="+mn-ea"/>
                            <a:cs typeface="+mn-cs"/>
                          </a:rPr>
                          <m:t> </m:t>
                        </m:r>
                        <m:r>
                          <a:rPr lang="es-MX" sz="1100" i="1">
                            <a:solidFill>
                              <a:schemeClr val="tx1"/>
                            </a:solidFill>
                            <a:effectLst/>
                            <a:latin typeface="Cambria Math"/>
                            <a:ea typeface="+mn-ea"/>
                            <a:cs typeface="+mn-cs"/>
                          </a:rPr>
                          <m:t>𝑎𝑐𝑡𝑖𝑣𝑎</m:t>
                        </m:r>
                      </m:sub>
                    </m:sSub>
                    <m:r>
                      <a:rPr lang="es-MX" sz="1100" b="0" i="1">
                        <a:solidFill>
                          <a:schemeClr val="tx1"/>
                        </a:solidFill>
                        <a:effectLst/>
                        <a:latin typeface="Cambria Math"/>
                        <a:ea typeface="+mn-ea"/>
                        <a:cs typeface="+mn-cs"/>
                      </a:rPr>
                      <m:t>=</m:t>
                    </m:r>
                    <m:f>
                      <m:fPr>
                        <m:ctrlPr>
                          <a:rPr lang="es-MX" sz="1100" b="0" i="1">
                            <a:solidFill>
                              <a:schemeClr val="tx1"/>
                            </a:solidFill>
                            <a:effectLst/>
                            <a:latin typeface="Cambria Math"/>
                            <a:ea typeface="+mn-ea"/>
                            <a:cs typeface="+mn-cs"/>
                          </a:rPr>
                        </m:ctrlPr>
                      </m:fPr>
                      <m:num>
                        <m:sSup>
                          <m:sSupPr>
                            <m:ctrlPr>
                              <a:rPr lang="es-MX" sz="1100" b="0" i="1">
                                <a:solidFill>
                                  <a:schemeClr val="tx1"/>
                                </a:solidFill>
                                <a:effectLst/>
                                <a:latin typeface="Cambria Math"/>
                                <a:ea typeface="+mn-ea"/>
                                <a:cs typeface="+mn-cs"/>
                              </a:rPr>
                            </m:ctrlPr>
                          </m:sSupPr>
                          <m:e>
                            <m:r>
                              <a:rPr lang="es-MX" sz="1100" b="0" i="1">
                                <a:solidFill>
                                  <a:schemeClr val="tx1"/>
                                </a:solidFill>
                                <a:effectLst/>
                                <a:latin typeface="Cambria Math"/>
                                <a:ea typeface="+mn-ea"/>
                                <a:cs typeface="+mn-cs"/>
                              </a:rPr>
                              <m:t>𝐻</m:t>
                            </m:r>
                          </m:e>
                          <m:sup>
                            <m:r>
                              <a:rPr lang="es-MX" sz="1100" b="0" i="1">
                                <a:solidFill>
                                  <a:schemeClr val="tx1"/>
                                </a:solidFill>
                                <a:effectLst/>
                                <a:latin typeface="Cambria Math"/>
                                <a:ea typeface="+mn-ea"/>
                                <a:cs typeface="+mn-cs"/>
                              </a:rPr>
                              <m:t>2</m:t>
                            </m:r>
                          </m:sup>
                        </m:sSup>
                        <m:r>
                          <a:rPr lang="es-MX" sz="1100" b="0" i="1">
                            <a:solidFill>
                              <a:schemeClr val="tx1"/>
                            </a:solidFill>
                            <a:effectLst/>
                            <a:latin typeface="Cambria Math"/>
                            <a:ea typeface="+mn-ea"/>
                            <a:cs typeface="+mn-cs"/>
                          </a:rPr>
                          <m:t>∙</m:t>
                        </m:r>
                        <m:r>
                          <m:rPr>
                            <m:sty m:val="p"/>
                          </m:rPr>
                          <a:rPr lang="es-MX" sz="1100" b="0" i="0">
                            <a:solidFill>
                              <a:schemeClr val="tx1"/>
                            </a:solidFill>
                            <a:effectLst/>
                            <a:latin typeface="Cambria Math"/>
                            <a:ea typeface="+mn-ea"/>
                            <a:cs typeface="+mn-cs"/>
                          </a:rPr>
                          <m:t>tan</m:t>
                        </m:r>
                        <m:d>
                          <m:dPr>
                            <m:ctrlPr>
                              <a:rPr lang="es-MX" sz="1100" b="0" i="1">
                                <a:solidFill>
                                  <a:schemeClr val="tx1"/>
                                </a:solidFill>
                                <a:effectLst/>
                                <a:latin typeface="Cambria Math"/>
                                <a:ea typeface="+mn-ea"/>
                                <a:cs typeface="+mn-cs"/>
                              </a:rPr>
                            </m:ctrlPr>
                          </m:dPr>
                          <m:e>
                            <m:r>
                              <a:rPr lang="es-MX" sz="1100" b="0" i="1">
                                <a:solidFill>
                                  <a:schemeClr val="tx1"/>
                                </a:solidFill>
                                <a:effectLst/>
                                <a:latin typeface="Cambria Math"/>
                                <a:ea typeface="+mn-ea"/>
                                <a:cs typeface="+mn-cs"/>
                              </a:rPr>
                              <m:t>90−</m:t>
                            </m:r>
                            <m:d>
                              <m:dPr>
                                <m:ctrlPr>
                                  <a:rPr lang="es-MX" sz="1100" b="0" i="1">
                                    <a:solidFill>
                                      <a:schemeClr val="tx1"/>
                                    </a:solidFill>
                                    <a:effectLst/>
                                    <a:latin typeface="Cambria Math"/>
                                    <a:ea typeface="+mn-ea"/>
                                    <a:cs typeface="+mn-cs"/>
                                  </a:rPr>
                                </m:ctrlPr>
                              </m:dPr>
                              <m:e>
                                <m:r>
                                  <a:rPr lang="es-MX" sz="1100" b="0" i="1">
                                    <a:solidFill>
                                      <a:schemeClr val="tx1"/>
                                    </a:solidFill>
                                    <a:effectLst/>
                                    <a:latin typeface="Cambria Math"/>
                                    <a:ea typeface="+mn-ea"/>
                                    <a:cs typeface="+mn-cs"/>
                                  </a:rPr>
                                  <m:t>45+</m:t>
                                </m:r>
                                <m:f>
                                  <m:fPr>
                                    <m:ctrlPr>
                                      <a:rPr lang="es-MX" sz="1100" b="0" i="1">
                                        <a:solidFill>
                                          <a:schemeClr val="tx1"/>
                                        </a:solidFill>
                                        <a:effectLst/>
                                        <a:latin typeface="Cambria Math"/>
                                        <a:ea typeface="+mn-ea"/>
                                        <a:cs typeface="+mn-cs"/>
                                      </a:rPr>
                                    </m:ctrlPr>
                                  </m:fPr>
                                  <m:num>
                                    <m:sSub>
                                      <m:sSubPr>
                                        <m:ctrlPr>
                                          <a:rPr lang="es-MX" sz="1100" b="0" i="1">
                                            <a:solidFill>
                                              <a:schemeClr val="tx1"/>
                                            </a:solidFill>
                                            <a:effectLst/>
                                            <a:latin typeface="Cambria Math"/>
                                            <a:ea typeface="+mn-ea"/>
                                            <a:cs typeface="+mn-cs"/>
                                          </a:rPr>
                                        </m:ctrlPr>
                                      </m:sSubPr>
                                      <m:e>
                                        <m:r>
                                          <a:rPr lang="es-MX" sz="1100" b="0" i="1">
                                            <a:solidFill>
                                              <a:schemeClr val="tx1"/>
                                            </a:solidFill>
                                            <a:effectLst/>
                                            <a:latin typeface="Cambria Math"/>
                                            <a:ea typeface="+mn-ea"/>
                                            <a:cs typeface="+mn-cs"/>
                                          </a:rPr>
                                          <m:t>𝜑</m:t>
                                        </m:r>
                                      </m:e>
                                      <m:sub>
                                        <m:r>
                                          <a:rPr lang="es-MX" sz="1100" b="0" i="1">
                                            <a:solidFill>
                                              <a:schemeClr val="tx1"/>
                                            </a:solidFill>
                                            <a:effectLst/>
                                            <a:latin typeface="Cambria Math"/>
                                            <a:ea typeface="+mn-ea"/>
                                            <a:cs typeface="+mn-cs"/>
                                          </a:rPr>
                                          <m:t>𝑟</m:t>
                                        </m:r>
                                      </m:sub>
                                    </m:sSub>
                                  </m:num>
                                  <m:den>
                                    <m:r>
                                      <a:rPr lang="es-MX" sz="1100" b="0" i="1">
                                        <a:solidFill>
                                          <a:schemeClr val="tx1"/>
                                        </a:solidFill>
                                        <a:effectLst/>
                                        <a:latin typeface="Cambria Math"/>
                                        <a:ea typeface="+mn-ea"/>
                                        <a:cs typeface="+mn-cs"/>
                                      </a:rPr>
                                      <m:t>2</m:t>
                                    </m:r>
                                  </m:den>
                                </m:f>
                              </m:e>
                            </m:d>
                          </m:e>
                        </m:d>
                      </m:num>
                      <m:den>
                        <m:r>
                          <a:rPr lang="es-MX" sz="1100" b="0" i="1">
                            <a:solidFill>
                              <a:schemeClr val="tx1"/>
                            </a:solidFill>
                            <a:effectLst/>
                            <a:latin typeface="Cambria Math"/>
                            <a:ea typeface="+mn-ea"/>
                            <a:cs typeface="+mn-cs"/>
                          </a:rPr>
                          <m:t>2</m:t>
                        </m:r>
                      </m:den>
                    </m:f>
                  </m:oMath>
                </m:oMathPara>
              </a14:m>
              <a:endParaRPr lang="es-MX" sz="1100"/>
            </a:p>
          </xdr:txBody>
        </xdr:sp>
      </mc:Choice>
      <mc:Fallback xmlns="">
        <xdr:sp macro="" textlink="">
          <xdr:nvSpPr>
            <xdr:cNvPr id="9" name="8 CuadroTexto"/>
            <xdr:cNvSpPr txBox="1"/>
          </xdr:nvSpPr>
          <xdr:spPr>
            <a:xfrm>
              <a:off x="937927" y="4296055"/>
              <a:ext cx="3040157" cy="629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i="0">
                  <a:solidFill>
                    <a:schemeClr val="tx1"/>
                  </a:solidFill>
                  <a:effectLst/>
                  <a:latin typeface="Cambria Math"/>
                  <a:ea typeface="+mn-ea"/>
                  <a:cs typeface="+mn-cs"/>
                </a:rPr>
                <a:t>〖𝐴</a:t>
              </a:r>
              <a:r>
                <a:rPr lang="es-MX" sz="1100" b="0" i="0">
                  <a:solidFill>
                    <a:schemeClr val="tx1"/>
                  </a:solidFill>
                  <a:effectLst/>
                  <a:latin typeface="Cambria Math"/>
                  <a:ea typeface="+mn-ea"/>
                  <a:cs typeface="+mn-cs"/>
                </a:rPr>
                <a:t>𝑟𝑒𝑎〗_(</a:t>
              </a:r>
              <a:r>
                <a:rPr lang="es-MX" sz="1100" i="0">
                  <a:solidFill>
                    <a:schemeClr val="tx1"/>
                  </a:solidFill>
                  <a:effectLst/>
                  <a:latin typeface="Cambria Math"/>
                  <a:ea typeface="+mn-ea"/>
                  <a:cs typeface="+mn-cs"/>
                </a:rPr>
                <a:t>𝑧𝑜𝑛𝑎 𝑎𝑐𝑡𝑖𝑣𝑎)</a:t>
              </a:r>
              <a:r>
                <a:rPr lang="es-MX" sz="1100" b="0" i="0">
                  <a:solidFill>
                    <a:schemeClr val="tx1"/>
                  </a:solidFill>
                  <a:effectLst/>
                  <a:latin typeface="Cambria Math"/>
                  <a:ea typeface="+mn-ea"/>
                  <a:cs typeface="+mn-cs"/>
                </a:rPr>
                <a:t>=(</a:t>
              </a:r>
              <a:r>
                <a:rPr lang="es-MX" sz="1100" b="0" i="0">
                  <a:solidFill>
                    <a:schemeClr val="tx1"/>
                  </a:solidFill>
                  <a:effectLst/>
                  <a:latin typeface="+mn-lt"/>
                  <a:ea typeface="+mn-ea"/>
                  <a:cs typeface="+mn-cs"/>
                </a:rPr>
                <a:t>𝐻^2∙tan(90−(45+𝜑_𝑟/2))</a:t>
              </a:r>
              <a:r>
                <a:rPr lang="es-MX" sz="1100" b="0" i="0">
                  <a:solidFill>
                    <a:schemeClr val="tx1"/>
                  </a:solidFill>
                  <a:effectLst/>
                  <a:latin typeface="Cambria Math"/>
                  <a:ea typeface="+mn-ea"/>
                  <a:cs typeface="+mn-cs"/>
                </a:rPr>
                <a:t>)/2</a:t>
              </a:r>
              <a:endParaRPr lang="es-MX" sz="1100"/>
            </a:p>
          </xdr:txBody>
        </xdr:sp>
      </mc:Fallback>
    </mc:AlternateContent>
    <xdr:clientData/>
  </xdr:oneCellAnchor>
  <xdr:oneCellAnchor>
    <xdr:from>
      <xdr:col>1</xdr:col>
      <xdr:colOff>180974</xdr:colOff>
      <xdr:row>38</xdr:row>
      <xdr:rowOff>100012</xdr:rowOff>
    </xdr:from>
    <xdr:ext cx="1400175" cy="447623"/>
    <mc:AlternateContent xmlns:mc="http://schemas.openxmlformats.org/markup-compatibility/2006" xmlns:a14="http://schemas.microsoft.com/office/drawing/2010/main">
      <mc:Choice Requires="a14">
        <xdr:sp macro="" textlink="">
          <xdr:nvSpPr>
            <xdr:cNvPr id="10" name="9 CuadroTexto"/>
            <xdr:cNvSpPr txBox="1"/>
          </xdr:nvSpPr>
          <xdr:spPr>
            <a:xfrm>
              <a:off x="942974" y="7348537"/>
              <a:ext cx="1400175" cy="4476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𝑇</m:t>
                        </m:r>
                      </m:e>
                      <m:sub>
                        <m:r>
                          <a:rPr lang="es-MX" sz="1100" i="1">
                            <a:solidFill>
                              <a:schemeClr val="tx1"/>
                            </a:solidFill>
                            <a:effectLst/>
                            <a:latin typeface="Cambria Math"/>
                            <a:ea typeface="+mn-ea"/>
                            <a:cs typeface="+mn-cs"/>
                          </a:rPr>
                          <m:t>𝑚𝑑𝑖</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𝑃</m:t>
                        </m:r>
                      </m:e>
                      <m:sub>
                        <m:r>
                          <a:rPr lang="es-MX" sz="1100" i="1">
                            <a:solidFill>
                              <a:schemeClr val="tx1"/>
                            </a:solidFill>
                            <a:effectLst/>
                            <a:latin typeface="Cambria Math"/>
                            <a:ea typeface="+mn-ea"/>
                            <a:cs typeface="+mn-cs"/>
                          </a:rPr>
                          <m:t>𝐼</m:t>
                        </m:r>
                      </m:sub>
                    </m:sSub>
                    <m:f>
                      <m:fPr>
                        <m:ctrlPr>
                          <a:rPr lang="es-MX" sz="1100" i="1">
                            <a:solidFill>
                              <a:schemeClr val="tx1"/>
                            </a:solidFill>
                            <a:effectLst/>
                            <a:latin typeface="Cambria Math"/>
                            <a:ea typeface="+mn-ea"/>
                            <a:cs typeface="+mn-cs"/>
                          </a:rPr>
                        </m:ctrlPr>
                      </m:fPr>
                      <m:num>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𝐿</m:t>
                            </m:r>
                          </m:e>
                          <m:sub>
                            <m:r>
                              <a:rPr lang="es-MX" sz="1100" i="1">
                                <a:solidFill>
                                  <a:schemeClr val="tx1"/>
                                </a:solidFill>
                                <a:effectLst/>
                                <a:latin typeface="Cambria Math"/>
                                <a:ea typeface="+mn-ea"/>
                                <a:cs typeface="+mn-cs"/>
                              </a:rPr>
                              <m:t>𝑒𝑖</m:t>
                            </m:r>
                          </m:sub>
                        </m:sSub>
                      </m:num>
                      <m:den>
                        <m:nary>
                          <m:naryPr>
                            <m:chr m:val="∑"/>
                            <m:limLoc m:val="undOvr"/>
                            <m:ctrlPr>
                              <a:rPr lang="es-MX" sz="1100" i="1">
                                <a:solidFill>
                                  <a:schemeClr val="tx1"/>
                                </a:solidFill>
                                <a:effectLst/>
                                <a:latin typeface="Cambria Math"/>
                                <a:ea typeface="+mn-ea"/>
                                <a:cs typeface="+mn-cs"/>
                              </a:rPr>
                            </m:ctrlPr>
                          </m:naryPr>
                          <m:sub>
                            <m:r>
                              <a:rPr lang="es-MX" sz="1100" i="1">
                                <a:solidFill>
                                  <a:schemeClr val="tx1"/>
                                </a:solidFill>
                                <a:effectLst/>
                                <a:latin typeface="Cambria Math"/>
                                <a:ea typeface="+mn-ea"/>
                                <a:cs typeface="+mn-cs"/>
                              </a:rPr>
                              <m:t>𝑖</m:t>
                            </m:r>
                            <m:r>
                              <a:rPr lang="es-MX" sz="1100" i="1">
                                <a:solidFill>
                                  <a:schemeClr val="tx1"/>
                                </a:solidFill>
                                <a:effectLst/>
                                <a:latin typeface="Cambria Math"/>
                                <a:ea typeface="+mn-ea"/>
                                <a:cs typeface="+mn-cs"/>
                              </a:rPr>
                              <m:t>=1</m:t>
                            </m:r>
                          </m:sub>
                          <m:sup>
                            <m:r>
                              <a:rPr lang="es-MX" sz="1100" i="1">
                                <a:solidFill>
                                  <a:schemeClr val="tx1"/>
                                </a:solidFill>
                                <a:effectLst/>
                                <a:latin typeface="Cambria Math"/>
                                <a:ea typeface="+mn-ea"/>
                                <a:cs typeface="+mn-cs"/>
                              </a:rPr>
                              <m:t>𝑛</m:t>
                            </m:r>
                          </m:sup>
                          <m:e>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𝐿</m:t>
                                </m:r>
                              </m:e>
                              <m:sub>
                                <m:r>
                                  <a:rPr lang="es-MX" sz="1100" i="1">
                                    <a:solidFill>
                                      <a:schemeClr val="tx1"/>
                                    </a:solidFill>
                                    <a:effectLst/>
                                    <a:latin typeface="Cambria Math"/>
                                    <a:ea typeface="+mn-ea"/>
                                    <a:cs typeface="+mn-cs"/>
                                  </a:rPr>
                                  <m:t>𝑒𝑖</m:t>
                                </m:r>
                              </m:sub>
                            </m:sSub>
                          </m:e>
                        </m:nary>
                      </m:den>
                    </m:f>
                    <m:r>
                      <a:rPr lang="es-MX" sz="1100" i="1">
                        <a:solidFill>
                          <a:schemeClr val="tx1"/>
                        </a:solidFill>
                        <a:effectLst/>
                        <a:latin typeface="Cambria Math"/>
                        <a:ea typeface="+mn-ea"/>
                        <a:cs typeface="+mn-cs"/>
                      </a:rPr>
                      <m:t> </m:t>
                    </m:r>
                  </m:oMath>
                </m:oMathPara>
              </a14:m>
              <a:endParaRPr lang="es-MX" sz="1100"/>
            </a:p>
          </xdr:txBody>
        </xdr:sp>
      </mc:Choice>
      <mc:Fallback xmlns="">
        <xdr:sp macro="" textlink="">
          <xdr:nvSpPr>
            <xdr:cNvPr id="10" name="9 CuadroTexto"/>
            <xdr:cNvSpPr txBox="1"/>
          </xdr:nvSpPr>
          <xdr:spPr>
            <a:xfrm>
              <a:off x="942974" y="7348537"/>
              <a:ext cx="1400175" cy="4476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i="0">
                  <a:solidFill>
                    <a:schemeClr val="tx1"/>
                  </a:solidFill>
                  <a:effectLst/>
                  <a:latin typeface="+mn-lt"/>
                  <a:ea typeface="+mn-ea"/>
                  <a:cs typeface="+mn-cs"/>
                </a:rPr>
                <a:t>𝑇_𝑚𝑑𝑖=𝑃_𝐼  𝐿_𝑒𝑖/(∑1_(𝑖=1)^𝑛▒𝐿_𝑒𝑖 )  </a:t>
              </a:r>
              <a:endParaRPr lang="es-MX" sz="1100"/>
            </a:p>
          </xdr:txBody>
        </xdr:sp>
      </mc:Fallback>
    </mc:AlternateContent>
    <xdr:clientData/>
  </xdr:oneCellAnchor>
  <xdr:oneCellAnchor>
    <xdr:from>
      <xdr:col>1</xdr:col>
      <xdr:colOff>152399</xdr:colOff>
      <xdr:row>40</xdr:row>
      <xdr:rowOff>176212</xdr:rowOff>
    </xdr:from>
    <xdr:ext cx="1476375" cy="264560"/>
    <mc:AlternateContent xmlns:mc="http://schemas.openxmlformats.org/markup-compatibility/2006" xmlns:a14="http://schemas.microsoft.com/office/drawing/2010/main">
      <mc:Choice Requires="a14">
        <xdr:sp macro="" textlink="">
          <xdr:nvSpPr>
            <xdr:cNvPr id="11" name="10 CuadroTexto"/>
            <xdr:cNvSpPr txBox="1"/>
          </xdr:nvSpPr>
          <xdr:spPr>
            <a:xfrm>
              <a:off x="914399" y="7805737"/>
              <a:ext cx="14763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𝑇</m:t>
                        </m:r>
                      </m:e>
                      <m:sub>
                        <m:r>
                          <a:rPr lang="es-MX" sz="1100" i="1">
                            <a:solidFill>
                              <a:schemeClr val="tx1"/>
                            </a:solidFill>
                            <a:effectLst/>
                            <a:latin typeface="Cambria Math"/>
                            <a:ea typeface="+mn-ea"/>
                            <a:cs typeface="+mn-cs"/>
                          </a:rPr>
                          <m:t>𝑡𝑜𝑡𝑎𝑙</m:t>
                        </m:r>
                        <m:r>
                          <a:rPr lang="es-MX" sz="1100" b="0" i="1">
                            <a:solidFill>
                              <a:schemeClr val="tx1"/>
                            </a:solidFill>
                            <a:effectLst/>
                            <a:latin typeface="Cambria Math"/>
                            <a:ea typeface="+mn-ea"/>
                            <a:cs typeface="+mn-cs"/>
                          </a:rPr>
                          <m:t> </m:t>
                        </m:r>
                        <m:r>
                          <a:rPr lang="es-MX" sz="1100" b="0" i="1">
                            <a:solidFill>
                              <a:schemeClr val="tx1"/>
                            </a:solidFill>
                            <a:effectLst/>
                            <a:latin typeface="Cambria Math"/>
                            <a:ea typeface="+mn-ea"/>
                            <a:cs typeface="+mn-cs"/>
                          </a:rPr>
                          <m:t>𝑖</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𝑇</m:t>
                        </m:r>
                      </m:e>
                      <m:sub>
                        <m:r>
                          <a:rPr lang="es-MX" sz="1100" i="1">
                            <a:solidFill>
                              <a:schemeClr val="tx1"/>
                            </a:solidFill>
                            <a:effectLst/>
                            <a:latin typeface="Cambria Math"/>
                            <a:ea typeface="+mn-ea"/>
                            <a:cs typeface="+mn-cs"/>
                          </a:rPr>
                          <m:t>𝑚𝑎𝑥</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𝑇</m:t>
                        </m:r>
                      </m:e>
                      <m:sub>
                        <m:r>
                          <a:rPr lang="es-MX" sz="1100" i="1">
                            <a:solidFill>
                              <a:schemeClr val="tx1"/>
                            </a:solidFill>
                            <a:effectLst/>
                            <a:latin typeface="Cambria Math"/>
                            <a:ea typeface="+mn-ea"/>
                            <a:cs typeface="+mn-cs"/>
                          </a:rPr>
                          <m:t>𝑚𝑑</m:t>
                        </m:r>
                      </m:sub>
                    </m:sSub>
                  </m:oMath>
                </m:oMathPara>
              </a14:m>
              <a:endParaRPr lang="es-MX" sz="1100"/>
            </a:p>
          </xdr:txBody>
        </xdr:sp>
      </mc:Choice>
      <mc:Fallback xmlns="">
        <xdr:sp macro="" textlink="">
          <xdr:nvSpPr>
            <xdr:cNvPr id="11" name="10 CuadroTexto"/>
            <xdr:cNvSpPr txBox="1"/>
          </xdr:nvSpPr>
          <xdr:spPr>
            <a:xfrm>
              <a:off x="914399" y="7805737"/>
              <a:ext cx="14763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i="0">
                  <a:solidFill>
                    <a:schemeClr val="tx1"/>
                  </a:solidFill>
                  <a:effectLst/>
                  <a:latin typeface="+mn-lt"/>
                  <a:ea typeface="+mn-ea"/>
                  <a:cs typeface="+mn-cs"/>
                </a:rPr>
                <a:t>𝑇_(𝑡𝑜𝑡𝑎𝑙</a:t>
              </a:r>
              <a:r>
                <a:rPr lang="es-MX" sz="1100" b="0" i="0">
                  <a:solidFill>
                    <a:schemeClr val="tx1"/>
                  </a:solidFill>
                  <a:effectLst/>
                  <a:latin typeface="Cambria Math"/>
                  <a:ea typeface="+mn-ea"/>
                  <a:cs typeface="+mn-cs"/>
                </a:rPr>
                <a:t> 𝑖</a:t>
              </a:r>
              <a:r>
                <a:rPr lang="es-MX" sz="1100" b="0" i="0">
                  <a:solidFill>
                    <a:schemeClr val="tx1"/>
                  </a:solidFill>
                  <a:effectLst/>
                  <a:latin typeface="+mn-lt"/>
                  <a:ea typeface="+mn-ea"/>
                  <a:cs typeface="+mn-cs"/>
                </a:rPr>
                <a:t>)</a:t>
              </a:r>
              <a:r>
                <a:rPr lang="es-MX" sz="1100" i="0">
                  <a:solidFill>
                    <a:schemeClr val="tx1"/>
                  </a:solidFill>
                  <a:effectLst/>
                  <a:latin typeface="+mn-lt"/>
                  <a:ea typeface="+mn-ea"/>
                  <a:cs typeface="+mn-cs"/>
                </a:rPr>
                <a:t>=𝑇_𝑚𝑎𝑥+𝑇_𝑚𝑑</a:t>
              </a:r>
              <a:endParaRPr lang="es-MX" sz="1100"/>
            </a:p>
          </xdr:txBody>
        </xdr:sp>
      </mc:Fallback>
    </mc:AlternateContent>
    <xdr:clientData/>
  </xdr:oneCellAnchor>
  <xdr:twoCellAnchor editAs="oneCell">
    <xdr:from>
      <xdr:col>10</xdr:col>
      <xdr:colOff>544285</xdr:colOff>
      <xdr:row>0</xdr:row>
      <xdr:rowOff>108858</xdr:rowOff>
    </xdr:from>
    <xdr:to>
      <xdr:col>13</xdr:col>
      <xdr:colOff>335323</xdr:colOff>
      <xdr:row>5</xdr:row>
      <xdr:rowOff>68035</xdr:rowOff>
    </xdr:to>
    <xdr:pic>
      <xdr:nvPicPr>
        <xdr:cNvPr id="12" name="11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164285" y="108858"/>
          <a:ext cx="2077038" cy="911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190500</xdr:colOff>
      <xdr:row>3</xdr:row>
      <xdr:rowOff>68037</xdr:rowOff>
    </xdr:from>
    <xdr:to>
      <xdr:col>19</xdr:col>
      <xdr:colOff>517071</xdr:colOff>
      <xdr:row>8</xdr:row>
      <xdr:rowOff>68037</xdr:rowOff>
    </xdr:to>
    <xdr:sp macro="[0]!Diseño" textlink="">
      <xdr:nvSpPr>
        <xdr:cNvPr id="13" name="12 CuadroTexto"/>
        <xdr:cNvSpPr txBox="1"/>
      </xdr:nvSpPr>
      <xdr:spPr>
        <a:xfrm>
          <a:off x="13144500" y="639537"/>
          <a:ext cx="1850571" cy="95250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t"/>
        <a:lstStyle/>
        <a:p>
          <a:pPr marL="0" indent="0" algn="ctr"/>
          <a:r>
            <a:rPr lang="es-MX" sz="1800">
              <a:solidFill>
                <a:schemeClr val="lt1"/>
              </a:solidFill>
              <a:latin typeface="+mn-lt"/>
              <a:ea typeface="+mn-ea"/>
              <a:cs typeface="+mn-cs"/>
            </a:rPr>
            <a:t>REGRESAR A HOJA DE DISEÑO FINAL</a:t>
          </a:r>
        </a:p>
      </xdr:txBody>
    </xdr:sp>
    <xdr:clientData/>
  </xdr:twoCellAnchor>
  <xdr:twoCellAnchor>
    <xdr:from>
      <xdr:col>17</xdr:col>
      <xdr:colOff>231322</xdr:colOff>
      <xdr:row>68</xdr:row>
      <xdr:rowOff>68036</xdr:rowOff>
    </xdr:from>
    <xdr:to>
      <xdr:col>19</xdr:col>
      <xdr:colOff>557893</xdr:colOff>
      <xdr:row>73</xdr:row>
      <xdr:rowOff>68036</xdr:rowOff>
    </xdr:to>
    <xdr:sp macro="[0]!Diseño" textlink="">
      <xdr:nvSpPr>
        <xdr:cNvPr id="14" name="13 CuadroTexto"/>
        <xdr:cNvSpPr txBox="1"/>
      </xdr:nvSpPr>
      <xdr:spPr>
        <a:xfrm>
          <a:off x="13185322" y="13471072"/>
          <a:ext cx="1850571" cy="95250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t"/>
        <a:lstStyle/>
        <a:p>
          <a:pPr marL="0" indent="0" algn="ctr"/>
          <a:r>
            <a:rPr lang="es-MX" sz="1800">
              <a:solidFill>
                <a:schemeClr val="lt1"/>
              </a:solidFill>
              <a:latin typeface="+mn-lt"/>
              <a:ea typeface="+mn-ea"/>
              <a:cs typeface="+mn-cs"/>
            </a:rPr>
            <a:t>REGRESAR A HOJA DE DISEÑO FINAL</a:t>
          </a:r>
        </a:p>
      </xdr:txBody>
    </xdr:sp>
    <xdr:clientData/>
  </xdr:twoCellAnchor>
  <xdr:twoCellAnchor editAs="oneCell">
    <xdr:from>
      <xdr:col>14</xdr:col>
      <xdr:colOff>251185</xdr:colOff>
      <xdr:row>14</xdr:row>
      <xdr:rowOff>17686</xdr:rowOff>
    </xdr:from>
    <xdr:to>
      <xdr:col>19</xdr:col>
      <xdr:colOff>394608</xdr:colOff>
      <xdr:row>35</xdr:row>
      <xdr:rowOff>108851</xdr:rowOff>
    </xdr:to>
    <xdr:pic>
      <xdr:nvPicPr>
        <xdr:cNvPr id="16" name="15 Imagen"/>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23778" t="3766" r="44145" b="-1"/>
        <a:stretch/>
      </xdr:blipFill>
      <xdr:spPr bwMode="auto">
        <a:xfrm>
          <a:off x="10919185" y="2929615"/>
          <a:ext cx="3953423" cy="4227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244930</xdr:colOff>
      <xdr:row>0</xdr:row>
      <xdr:rowOff>68036</xdr:rowOff>
    </xdr:from>
    <xdr:to>
      <xdr:col>1</xdr:col>
      <xdr:colOff>549165</xdr:colOff>
      <xdr:row>5</xdr:row>
      <xdr:rowOff>172811</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30" y="68036"/>
          <a:ext cx="106623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161925</xdr:colOff>
      <xdr:row>4</xdr:row>
      <xdr:rowOff>66674</xdr:rowOff>
    </xdr:from>
    <xdr:to>
      <xdr:col>6</xdr:col>
      <xdr:colOff>295275</xdr:colOff>
      <xdr:row>8</xdr:row>
      <xdr:rowOff>171449</xdr:rowOff>
    </xdr:to>
    <xdr:pic>
      <xdr:nvPicPr>
        <xdr:cNvPr id="7" name="6 Imagen" descr="C:\Documents and Settings\Solksjaer\Mis documentos\Copia de uach.gif"/>
        <xdr:cNvPicPr/>
      </xdr:nvPicPr>
      <xdr:blipFill>
        <a:blip xmlns:r="http://schemas.openxmlformats.org/officeDocument/2006/relationships" r:embed="rId2" r:link="rId3"/>
        <a:srcRect/>
        <a:stretch>
          <a:fillRect/>
        </a:stretch>
      </xdr:blipFill>
      <xdr:spPr bwMode="auto">
        <a:xfrm>
          <a:off x="4733925" y="828674"/>
          <a:ext cx="895350" cy="866775"/>
        </a:xfrm>
        <a:prstGeom prst="rect">
          <a:avLst/>
        </a:prstGeom>
        <a:noFill/>
        <a:ln w="9525">
          <a:noFill/>
          <a:miter lim="800000"/>
          <a:headEnd/>
          <a:tailEnd/>
        </a:ln>
      </xdr:spPr>
    </xdr:pic>
    <xdr:clientData/>
  </xdr:twoCellAnchor>
  <xdr:twoCellAnchor>
    <xdr:from>
      <xdr:col>0</xdr:col>
      <xdr:colOff>95251</xdr:colOff>
      <xdr:row>14</xdr:row>
      <xdr:rowOff>174625</xdr:rowOff>
    </xdr:from>
    <xdr:to>
      <xdr:col>3</xdr:col>
      <xdr:colOff>127001</xdr:colOff>
      <xdr:row>20</xdr:row>
      <xdr:rowOff>18762</xdr:rowOff>
    </xdr:to>
    <xdr:sp macro="[0]!Diseñomuro" textlink="">
      <xdr:nvSpPr>
        <xdr:cNvPr id="8" name="7 CuadroTexto"/>
        <xdr:cNvSpPr txBox="1"/>
      </xdr:nvSpPr>
      <xdr:spPr>
        <a:xfrm>
          <a:off x="95251" y="2381250"/>
          <a:ext cx="2317750" cy="987137"/>
        </a:xfrm>
        <a:prstGeom prst="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wrap="square" rtlCol="0" anchor="ctr"/>
        <a:lstStyle/>
        <a:p>
          <a:pPr algn="ctr"/>
          <a:r>
            <a:rPr lang="es-MX" sz="1800" b="1"/>
            <a:t>MEMORIA</a:t>
          </a:r>
          <a:r>
            <a:rPr lang="es-MX" sz="1800" b="1" baseline="0"/>
            <a:t> DE CALCULO DEL DISEÑO DEL MURO</a:t>
          </a:r>
          <a:endParaRPr lang="es-MX" sz="1800" b="1"/>
        </a:p>
      </xdr:txBody>
    </xdr:sp>
    <xdr:clientData/>
  </xdr:twoCellAnchor>
  <xdr:twoCellAnchor>
    <xdr:from>
      <xdr:col>8</xdr:col>
      <xdr:colOff>594171</xdr:colOff>
      <xdr:row>14</xdr:row>
      <xdr:rowOff>174625</xdr:rowOff>
    </xdr:from>
    <xdr:to>
      <xdr:col>11</xdr:col>
      <xdr:colOff>625921</xdr:colOff>
      <xdr:row>20</xdr:row>
      <xdr:rowOff>18762</xdr:rowOff>
    </xdr:to>
    <xdr:sp macro="[0]!Diseñosismo" textlink="">
      <xdr:nvSpPr>
        <xdr:cNvPr id="9" name="8 CuadroTexto"/>
        <xdr:cNvSpPr txBox="1"/>
      </xdr:nvSpPr>
      <xdr:spPr>
        <a:xfrm>
          <a:off x="6812635" y="2950482"/>
          <a:ext cx="2317750" cy="987137"/>
        </a:xfrm>
        <a:prstGeom prst="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wrap="square" rtlCol="0" anchor="ctr"/>
        <a:lstStyle/>
        <a:p>
          <a:pPr algn="ctr"/>
          <a:r>
            <a:rPr lang="es-MX" sz="1800" b="1"/>
            <a:t>MEMORIA</a:t>
          </a:r>
          <a:r>
            <a:rPr lang="es-MX" sz="1800" b="1" baseline="0"/>
            <a:t> DE CALCULO DEL DISEÑO POR SISMO</a:t>
          </a:r>
          <a:endParaRPr lang="es-MX" sz="1800" b="1"/>
        </a:p>
      </xdr:txBody>
    </xdr:sp>
    <xdr:clientData/>
  </xdr:twoCellAnchor>
  <xdr:twoCellAnchor>
    <xdr:from>
      <xdr:col>9</xdr:col>
      <xdr:colOff>399143</xdr:colOff>
      <xdr:row>27</xdr:row>
      <xdr:rowOff>88443</xdr:rowOff>
    </xdr:from>
    <xdr:to>
      <xdr:col>11</xdr:col>
      <xdr:colOff>510268</xdr:colOff>
      <xdr:row>31</xdr:row>
      <xdr:rowOff>104318</xdr:rowOff>
    </xdr:to>
    <xdr:sp macro="[0]!Diseñoalternativo" textlink="">
      <xdr:nvSpPr>
        <xdr:cNvPr id="10" name="9 CuadroTexto"/>
        <xdr:cNvSpPr txBox="1"/>
      </xdr:nvSpPr>
      <xdr:spPr>
        <a:xfrm>
          <a:off x="7379607" y="5340800"/>
          <a:ext cx="1635125" cy="777875"/>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ctr"/>
        <a:lstStyle/>
        <a:p>
          <a:pPr algn="ctr"/>
          <a:r>
            <a:rPr lang="es-MX" sz="1800" b="1"/>
            <a:t>DISEÑO ALTERNATIVO</a:t>
          </a:r>
        </a:p>
      </xdr:txBody>
    </xdr:sp>
    <xdr:clientData/>
  </xdr:twoCellAnchor>
  <xdr:twoCellAnchor>
    <xdr:from>
      <xdr:col>9</xdr:col>
      <xdr:colOff>415018</xdr:colOff>
      <xdr:row>32</xdr:row>
      <xdr:rowOff>70300</xdr:rowOff>
    </xdr:from>
    <xdr:to>
      <xdr:col>11</xdr:col>
      <xdr:colOff>526143</xdr:colOff>
      <xdr:row>35</xdr:row>
      <xdr:rowOff>58960</xdr:rowOff>
    </xdr:to>
    <xdr:sp macro="[0]!Reportefinal" textlink="">
      <xdr:nvSpPr>
        <xdr:cNvPr id="11" name="10 CuadroTexto"/>
        <xdr:cNvSpPr txBox="1"/>
      </xdr:nvSpPr>
      <xdr:spPr>
        <a:xfrm>
          <a:off x="7395482" y="6288764"/>
          <a:ext cx="1635125" cy="77787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MX" sz="1800" b="1"/>
            <a:t>REPORTE FINAL</a:t>
          </a:r>
        </a:p>
      </xdr:txBody>
    </xdr:sp>
    <xdr:clientData/>
  </xdr:twoCellAnchor>
  <xdr:twoCellAnchor editAs="oneCell">
    <xdr:from>
      <xdr:col>9</xdr:col>
      <xdr:colOff>95249</xdr:colOff>
      <xdr:row>0</xdr:row>
      <xdr:rowOff>81644</xdr:rowOff>
    </xdr:from>
    <xdr:to>
      <xdr:col>11</xdr:col>
      <xdr:colOff>586286</xdr:colOff>
      <xdr:row>5</xdr:row>
      <xdr:rowOff>13607</xdr:rowOff>
    </xdr:to>
    <xdr:pic>
      <xdr:nvPicPr>
        <xdr:cNvPr id="12" name="11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075713" y="81644"/>
          <a:ext cx="2015037" cy="8844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408214</xdr:colOff>
      <xdr:row>36</xdr:row>
      <xdr:rowOff>95250</xdr:rowOff>
    </xdr:from>
    <xdr:to>
      <xdr:col>11</xdr:col>
      <xdr:colOff>530679</xdr:colOff>
      <xdr:row>41</xdr:row>
      <xdr:rowOff>129887</xdr:rowOff>
    </xdr:to>
    <xdr:sp macro="[0]!REGRESAR2" textlink="">
      <xdr:nvSpPr>
        <xdr:cNvPr id="13" name="12 CuadroTexto"/>
        <xdr:cNvSpPr txBox="1"/>
      </xdr:nvSpPr>
      <xdr:spPr>
        <a:xfrm>
          <a:off x="7388678" y="7293429"/>
          <a:ext cx="1646465" cy="987137"/>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MX" sz="1800" b="1"/>
            <a:t>REGRESAR AL MENU DE INICIO</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158750</xdr:colOff>
      <xdr:row>0</xdr:row>
      <xdr:rowOff>53975</xdr:rowOff>
    </xdr:from>
    <xdr:to>
      <xdr:col>1</xdr:col>
      <xdr:colOff>163286</xdr:colOff>
      <xdr:row>5</xdr:row>
      <xdr:rowOff>65190</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0" y="53975"/>
          <a:ext cx="1052286" cy="1031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742950</xdr:colOff>
      <xdr:row>5</xdr:row>
      <xdr:rowOff>15874</xdr:rowOff>
    </xdr:from>
    <xdr:to>
      <xdr:col>5</xdr:col>
      <xdr:colOff>666750</xdr:colOff>
      <xdr:row>9</xdr:row>
      <xdr:rowOff>127000</xdr:rowOff>
    </xdr:to>
    <xdr:pic>
      <xdr:nvPicPr>
        <xdr:cNvPr id="7" name="6 Imagen" descr="C:\Documents and Settings\Solksjaer\Mis documentos\Copia de uach.gif"/>
        <xdr:cNvPicPr/>
      </xdr:nvPicPr>
      <xdr:blipFill>
        <a:blip xmlns:r="http://schemas.openxmlformats.org/officeDocument/2006/relationships" r:embed="rId2" r:link="rId3"/>
        <a:srcRect/>
        <a:stretch>
          <a:fillRect/>
        </a:stretch>
      </xdr:blipFill>
      <xdr:spPr bwMode="auto">
        <a:xfrm>
          <a:off x="4933950" y="1047749"/>
          <a:ext cx="971550" cy="936626"/>
        </a:xfrm>
        <a:prstGeom prst="rect">
          <a:avLst/>
        </a:prstGeom>
        <a:noFill/>
        <a:ln w="9525">
          <a:noFill/>
          <a:miter lim="800000"/>
          <a:headEnd/>
          <a:tailEnd/>
        </a:ln>
      </xdr:spPr>
    </xdr:pic>
    <xdr:clientData/>
  </xdr:twoCellAnchor>
  <xdr:twoCellAnchor editAs="oneCell">
    <xdr:from>
      <xdr:col>6</xdr:col>
      <xdr:colOff>869710</xdr:colOff>
      <xdr:row>0</xdr:row>
      <xdr:rowOff>65768</xdr:rowOff>
    </xdr:from>
    <xdr:to>
      <xdr:col>8</xdr:col>
      <xdr:colOff>1006930</xdr:colOff>
      <xdr:row>5</xdr:row>
      <xdr:rowOff>15243</xdr:rowOff>
    </xdr:to>
    <xdr:pic>
      <xdr:nvPicPr>
        <xdr:cNvPr id="8" name="7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56210" y="65768"/>
          <a:ext cx="2232720" cy="970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771071</xdr:colOff>
      <xdr:row>0</xdr:row>
      <xdr:rowOff>102053</xdr:rowOff>
    </xdr:from>
    <xdr:to>
      <xdr:col>11</xdr:col>
      <xdr:colOff>526142</xdr:colOff>
      <xdr:row>5</xdr:row>
      <xdr:rowOff>22678</xdr:rowOff>
    </xdr:to>
    <xdr:sp macro="[0]!Diseño" textlink="">
      <xdr:nvSpPr>
        <xdr:cNvPr id="5" name="4 CuadroTexto"/>
        <xdr:cNvSpPr txBox="1"/>
      </xdr:nvSpPr>
      <xdr:spPr>
        <a:xfrm>
          <a:off x="10200821" y="102053"/>
          <a:ext cx="1850571" cy="941161"/>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t"/>
        <a:lstStyle/>
        <a:p>
          <a:pPr marL="0" indent="0" algn="ctr"/>
          <a:r>
            <a:rPr lang="es-MX" sz="1800">
              <a:solidFill>
                <a:schemeClr val="lt1"/>
              </a:solidFill>
              <a:latin typeface="+mn-lt"/>
              <a:ea typeface="+mn-ea"/>
              <a:cs typeface="+mn-cs"/>
            </a:rPr>
            <a:t>REGRESAR A HOJA DE DISEÑO FINAL</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244930</xdr:colOff>
      <xdr:row>0</xdr:row>
      <xdr:rowOff>68036</xdr:rowOff>
    </xdr:from>
    <xdr:to>
      <xdr:col>1</xdr:col>
      <xdr:colOff>440308</xdr:colOff>
      <xdr:row>5</xdr:row>
      <xdr:rowOff>172811</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30" y="68036"/>
          <a:ext cx="106623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161925</xdr:colOff>
      <xdr:row>4</xdr:row>
      <xdr:rowOff>66674</xdr:rowOff>
    </xdr:from>
    <xdr:to>
      <xdr:col>10</xdr:col>
      <xdr:colOff>133350</xdr:colOff>
      <xdr:row>8</xdr:row>
      <xdr:rowOff>171449</xdr:rowOff>
    </xdr:to>
    <xdr:pic>
      <xdr:nvPicPr>
        <xdr:cNvPr id="7" name="6 Imagen" descr="C:\Documents and Settings\Solksjaer\Mis documentos\Copia de uach.gif"/>
        <xdr:cNvPicPr/>
      </xdr:nvPicPr>
      <xdr:blipFill>
        <a:blip xmlns:r="http://schemas.openxmlformats.org/officeDocument/2006/relationships" r:embed="rId2" r:link="rId3"/>
        <a:srcRect/>
        <a:stretch>
          <a:fillRect/>
        </a:stretch>
      </xdr:blipFill>
      <xdr:spPr bwMode="auto">
        <a:xfrm>
          <a:off x="4095750" y="828674"/>
          <a:ext cx="895350" cy="866775"/>
        </a:xfrm>
        <a:prstGeom prst="rect">
          <a:avLst/>
        </a:prstGeom>
        <a:noFill/>
        <a:ln w="9525">
          <a:noFill/>
          <a:miter lim="800000"/>
          <a:headEnd/>
          <a:tailEnd/>
        </a:ln>
      </xdr:spPr>
    </xdr:pic>
    <xdr:clientData/>
  </xdr:twoCellAnchor>
  <xdr:twoCellAnchor editAs="oneCell">
    <xdr:from>
      <xdr:col>9</xdr:col>
      <xdr:colOff>625922</xdr:colOff>
      <xdr:row>0</xdr:row>
      <xdr:rowOff>40823</xdr:rowOff>
    </xdr:from>
    <xdr:to>
      <xdr:col>12</xdr:col>
      <xdr:colOff>354959</xdr:colOff>
      <xdr:row>4</xdr:row>
      <xdr:rowOff>163286</xdr:rowOff>
    </xdr:to>
    <xdr:pic>
      <xdr:nvPicPr>
        <xdr:cNvPr id="8" name="7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007922" y="40823"/>
          <a:ext cx="2015037" cy="8844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625929</xdr:colOff>
      <xdr:row>1</xdr:row>
      <xdr:rowOff>68036</xdr:rowOff>
    </xdr:from>
    <xdr:to>
      <xdr:col>15</xdr:col>
      <xdr:colOff>1714500</xdr:colOff>
      <xdr:row>6</xdr:row>
      <xdr:rowOff>68036</xdr:rowOff>
    </xdr:to>
    <xdr:sp macro="[0]!Diseño" textlink="">
      <xdr:nvSpPr>
        <xdr:cNvPr id="5" name="4 CuadroTexto"/>
        <xdr:cNvSpPr txBox="1"/>
      </xdr:nvSpPr>
      <xdr:spPr>
        <a:xfrm>
          <a:off x="12055929" y="258536"/>
          <a:ext cx="1850571" cy="95250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t"/>
        <a:lstStyle/>
        <a:p>
          <a:pPr marL="0" indent="0" algn="ctr"/>
          <a:r>
            <a:rPr lang="es-MX" sz="1800">
              <a:solidFill>
                <a:schemeClr val="lt1"/>
              </a:solidFill>
              <a:latin typeface="+mn-lt"/>
              <a:ea typeface="+mn-ea"/>
              <a:cs typeface="+mn-cs"/>
            </a:rPr>
            <a:t>REGRESAR A HOJA DE DISEÑO FINAL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269875</xdr:colOff>
      <xdr:row>0</xdr:row>
      <xdr:rowOff>38100</xdr:rowOff>
    </xdr:from>
    <xdr:to>
      <xdr:col>1</xdr:col>
      <xdr:colOff>574110</xdr:colOff>
      <xdr:row>5</xdr:row>
      <xdr:rowOff>142875</xdr:rowOff>
    </xdr:to>
    <xdr:pic>
      <xdr:nvPicPr>
        <xdr:cNvPr id="9" name="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875" y="38100"/>
          <a:ext cx="106623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161925</xdr:colOff>
      <xdr:row>4</xdr:row>
      <xdr:rowOff>66674</xdr:rowOff>
    </xdr:from>
    <xdr:to>
      <xdr:col>6</xdr:col>
      <xdr:colOff>358775</xdr:colOff>
      <xdr:row>8</xdr:row>
      <xdr:rowOff>171449</xdr:rowOff>
    </xdr:to>
    <xdr:pic>
      <xdr:nvPicPr>
        <xdr:cNvPr id="10" name="9 Imagen" descr="C:\Documents and Settings\Solksjaer\Mis documentos\Copia de uach.gif"/>
        <xdr:cNvPicPr/>
      </xdr:nvPicPr>
      <xdr:blipFill>
        <a:blip xmlns:r="http://schemas.openxmlformats.org/officeDocument/2006/relationships" r:embed="rId2" r:link="rId3"/>
        <a:srcRect/>
        <a:stretch>
          <a:fillRect/>
        </a:stretch>
      </xdr:blipFill>
      <xdr:spPr bwMode="auto">
        <a:xfrm>
          <a:off x="8477250" y="828674"/>
          <a:ext cx="901700" cy="866775"/>
        </a:xfrm>
        <a:prstGeom prst="rect">
          <a:avLst/>
        </a:prstGeom>
        <a:noFill/>
        <a:ln w="9525">
          <a:noFill/>
          <a:miter lim="800000"/>
          <a:headEnd/>
          <a:tailEnd/>
        </a:ln>
      </xdr:spPr>
    </xdr:pic>
    <xdr:clientData/>
  </xdr:twoCellAnchor>
  <xdr:twoCellAnchor>
    <xdr:from>
      <xdr:col>3</xdr:col>
      <xdr:colOff>79374</xdr:colOff>
      <xdr:row>16</xdr:row>
      <xdr:rowOff>127001</xdr:rowOff>
    </xdr:from>
    <xdr:to>
      <xdr:col>10</xdr:col>
      <xdr:colOff>126999</xdr:colOff>
      <xdr:row>21</xdr:row>
      <xdr:rowOff>31751</xdr:rowOff>
    </xdr:to>
    <xdr:sp macro="[0]!PropMuro" textlink="">
      <xdr:nvSpPr>
        <xdr:cNvPr id="12" name="11 CuadroTexto"/>
        <xdr:cNvSpPr txBox="1"/>
      </xdr:nvSpPr>
      <xdr:spPr>
        <a:xfrm>
          <a:off x="2365374" y="3175001"/>
          <a:ext cx="5381625" cy="8572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MX" sz="2400">
              <a:solidFill>
                <a:schemeClr val="lt1"/>
              </a:solidFill>
              <a:latin typeface="+mn-lt"/>
              <a:ea typeface="+mn-ea"/>
              <a:cs typeface="+mn-cs"/>
            </a:rPr>
            <a:t>PROPIEDADES DEL MURO MECANICAMENTE ESTABILIZADO</a:t>
          </a:r>
        </a:p>
        <a:p>
          <a:pPr marL="0" indent="0" algn="ctr"/>
          <a:endParaRPr lang="es-MX" sz="2400">
            <a:solidFill>
              <a:schemeClr val="lt1"/>
            </a:solidFill>
            <a:latin typeface="+mn-lt"/>
            <a:ea typeface="+mn-ea"/>
            <a:cs typeface="+mn-cs"/>
          </a:endParaRPr>
        </a:p>
      </xdr:txBody>
    </xdr:sp>
    <xdr:clientData/>
  </xdr:twoCellAnchor>
  <xdr:twoCellAnchor>
    <xdr:from>
      <xdr:col>3</xdr:col>
      <xdr:colOff>73025</xdr:colOff>
      <xdr:row>25</xdr:row>
      <xdr:rowOff>168275</xdr:rowOff>
    </xdr:from>
    <xdr:to>
      <xdr:col>10</xdr:col>
      <xdr:colOff>142875</xdr:colOff>
      <xdr:row>28</xdr:row>
      <xdr:rowOff>25400</xdr:rowOff>
    </xdr:to>
    <xdr:sp macro="[0]!Revision" textlink="">
      <xdr:nvSpPr>
        <xdr:cNvPr id="13" name="12 CuadroTexto"/>
        <xdr:cNvSpPr txBox="1"/>
      </xdr:nvSpPr>
      <xdr:spPr>
        <a:xfrm>
          <a:off x="2359025" y="4930775"/>
          <a:ext cx="5403850" cy="42862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t"/>
        <a:lstStyle/>
        <a:p>
          <a:pPr marL="0" indent="0" algn="ctr"/>
          <a:r>
            <a:rPr lang="es-MX" sz="2400">
              <a:solidFill>
                <a:schemeClr val="lt1"/>
              </a:solidFill>
              <a:latin typeface="+mn-lt"/>
              <a:ea typeface="+mn-ea"/>
              <a:cs typeface="+mn-cs"/>
            </a:rPr>
            <a:t>REVISION</a:t>
          </a:r>
        </a:p>
      </xdr:txBody>
    </xdr:sp>
    <xdr:clientData/>
  </xdr:twoCellAnchor>
  <xdr:twoCellAnchor>
    <xdr:from>
      <xdr:col>3</xdr:col>
      <xdr:colOff>76200</xdr:colOff>
      <xdr:row>29</xdr:row>
      <xdr:rowOff>92075</xdr:rowOff>
    </xdr:from>
    <xdr:to>
      <xdr:col>10</xdr:col>
      <xdr:colOff>146050</xdr:colOff>
      <xdr:row>31</xdr:row>
      <xdr:rowOff>139700</xdr:rowOff>
    </xdr:to>
    <xdr:sp macro="[0]!Diseño" textlink="">
      <xdr:nvSpPr>
        <xdr:cNvPr id="15" name="14 CuadroTexto"/>
        <xdr:cNvSpPr txBox="1"/>
      </xdr:nvSpPr>
      <xdr:spPr>
        <a:xfrm>
          <a:off x="2362200" y="5616575"/>
          <a:ext cx="5403850" cy="42862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t"/>
        <a:lstStyle/>
        <a:p>
          <a:pPr marL="0" indent="0" algn="ctr"/>
          <a:r>
            <a:rPr lang="es-MX" sz="2400">
              <a:solidFill>
                <a:schemeClr val="lt1"/>
              </a:solidFill>
              <a:latin typeface="+mn-lt"/>
              <a:ea typeface="+mn-ea"/>
              <a:cs typeface="+mn-cs"/>
            </a:rPr>
            <a:t>DISEÑO</a:t>
          </a:r>
        </a:p>
      </xdr:txBody>
    </xdr:sp>
    <xdr:clientData/>
  </xdr:twoCellAnchor>
  <xdr:twoCellAnchor>
    <xdr:from>
      <xdr:col>3</xdr:col>
      <xdr:colOff>63500</xdr:colOff>
      <xdr:row>13</xdr:row>
      <xdr:rowOff>47625</xdr:rowOff>
    </xdr:from>
    <xdr:to>
      <xdr:col>10</xdr:col>
      <xdr:colOff>133350</xdr:colOff>
      <xdr:row>15</xdr:row>
      <xdr:rowOff>95250</xdr:rowOff>
    </xdr:to>
    <xdr:sp macro="[0]!Asignar" textlink="">
      <xdr:nvSpPr>
        <xdr:cNvPr id="17" name="16 CuadroTexto"/>
        <xdr:cNvSpPr txBox="1"/>
      </xdr:nvSpPr>
      <xdr:spPr>
        <a:xfrm>
          <a:off x="2349500" y="2524125"/>
          <a:ext cx="5403850" cy="42862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t"/>
        <a:lstStyle/>
        <a:p>
          <a:pPr marL="0" indent="0" algn="ctr"/>
          <a:r>
            <a:rPr lang="es-MX" sz="2400">
              <a:solidFill>
                <a:schemeClr val="lt1"/>
              </a:solidFill>
              <a:latin typeface="+mn-lt"/>
              <a:ea typeface="+mn-ea"/>
              <a:cs typeface="+mn-cs"/>
            </a:rPr>
            <a:t>DATOS DE PROYECTO</a:t>
          </a:r>
        </a:p>
      </xdr:txBody>
    </xdr:sp>
    <xdr:clientData/>
  </xdr:twoCellAnchor>
  <xdr:twoCellAnchor>
    <xdr:from>
      <xdr:col>3</xdr:col>
      <xdr:colOff>79375</xdr:colOff>
      <xdr:row>22</xdr:row>
      <xdr:rowOff>95250</xdr:rowOff>
    </xdr:from>
    <xdr:to>
      <xdr:col>10</xdr:col>
      <xdr:colOff>149225</xdr:colOff>
      <xdr:row>24</xdr:row>
      <xdr:rowOff>142875</xdr:rowOff>
    </xdr:to>
    <xdr:sp macro="[0]!Cargas" textlink="">
      <xdr:nvSpPr>
        <xdr:cNvPr id="18" name="17 CuadroTexto"/>
        <xdr:cNvSpPr txBox="1"/>
      </xdr:nvSpPr>
      <xdr:spPr>
        <a:xfrm>
          <a:off x="2365375" y="4286250"/>
          <a:ext cx="5403850" cy="42862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t"/>
        <a:lstStyle/>
        <a:p>
          <a:pPr marL="0" indent="0" algn="ctr"/>
          <a:r>
            <a:rPr lang="es-MX" sz="2400">
              <a:solidFill>
                <a:schemeClr val="lt1"/>
              </a:solidFill>
              <a:latin typeface="+mn-lt"/>
              <a:ea typeface="+mn-ea"/>
              <a:cs typeface="+mn-cs"/>
            </a:rPr>
            <a:t>APLICACION</a:t>
          </a:r>
          <a:r>
            <a:rPr lang="es-MX" sz="2400" baseline="0">
              <a:solidFill>
                <a:schemeClr val="lt1"/>
              </a:solidFill>
              <a:latin typeface="+mn-lt"/>
              <a:ea typeface="+mn-ea"/>
              <a:cs typeface="+mn-cs"/>
            </a:rPr>
            <a:t> DE CARGAS</a:t>
          </a:r>
          <a:endParaRPr lang="es-MX" sz="2400">
            <a:solidFill>
              <a:schemeClr val="lt1"/>
            </a:solidFill>
            <a:latin typeface="+mn-lt"/>
            <a:ea typeface="+mn-ea"/>
            <a:cs typeface="+mn-cs"/>
          </a:endParaRPr>
        </a:p>
      </xdr:txBody>
    </xdr:sp>
    <xdr:clientData/>
  </xdr:twoCellAnchor>
  <xdr:twoCellAnchor editAs="oneCell">
    <xdr:from>
      <xdr:col>9</xdr:col>
      <xdr:colOff>222250</xdr:colOff>
      <xdr:row>0</xdr:row>
      <xdr:rowOff>79375</xdr:rowOff>
    </xdr:from>
    <xdr:to>
      <xdr:col>11</xdr:col>
      <xdr:colOff>641350</xdr:colOff>
      <xdr:row>4</xdr:row>
      <xdr:rowOff>170262</xdr:rowOff>
    </xdr:to>
    <xdr:pic>
      <xdr:nvPicPr>
        <xdr:cNvPr id="11" name="10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080250" y="79375"/>
          <a:ext cx="1943100" cy="852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34636</xdr:colOff>
      <xdr:row>0</xdr:row>
      <xdr:rowOff>55419</xdr:rowOff>
    </xdr:from>
    <xdr:to>
      <xdr:col>6</xdr:col>
      <xdr:colOff>217644</xdr:colOff>
      <xdr:row>5</xdr:row>
      <xdr:rowOff>160194</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3454" y="55419"/>
          <a:ext cx="106623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161925</xdr:colOff>
      <xdr:row>4</xdr:row>
      <xdr:rowOff>66674</xdr:rowOff>
    </xdr:from>
    <xdr:to>
      <xdr:col>11</xdr:col>
      <xdr:colOff>358775</xdr:colOff>
      <xdr:row>8</xdr:row>
      <xdr:rowOff>117020</xdr:rowOff>
    </xdr:to>
    <xdr:pic>
      <xdr:nvPicPr>
        <xdr:cNvPr id="4" name="3 Imagen" descr="C:\Documents and Settings\Solksjaer\Mis documentos\Copia de uach.gif"/>
        <xdr:cNvPicPr/>
      </xdr:nvPicPr>
      <xdr:blipFill>
        <a:blip xmlns:r="http://schemas.openxmlformats.org/officeDocument/2006/relationships" r:embed="rId2" r:link="rId3"/>
        <a:srcRect/>
        <a:stretch>
          <a:fillRect/>
        </a:stretch>
      </xdr:blipFill>
      <xdr:spPr bwMode="auto">
        <a:xfrm>
          <a:off x="5010150" y="828674"/>
          <a:ext cx="895350" cy="866775"/>
        </a:xfrm>
        <a:prstGeom prst="rect">
          <a:avLst/>
        </a:prstGeom>
        <a:noFill/>
        <a:ln w="9525">
          <a:noFill/>
          <a:miter lim="800000"/>
          <a:headEnd/>
          <a:tailEnd/>
        </a:ln>
      </xdr:spPr>
    </xdr:pic>
    <xdr:clientData/>
  </xdr:twoCellAnchor>
  <xdr:twoCellAnchor>
    <xdr:from>
      <xdr:col>2</xdr:col>
      <xdr:colOff>634660</xdr:colOff>
      <xdr:row>21</xdr:row>
      <xdr:rowOff>62069</xdr:rowOff>
    </xdr:from>
    <xdr:to>
      <xdr:col>5</xdr:col>
      <xdr:colOff>431790</xdr:colOff>
      <xdr:row>26</xdr:row>
      <xdr:rowOff>85500</xdr:rowOff>
    </xdr:to>
    <xdr:sp macro="[0]!REGRESAR" textlink="">
      <xdr:nvSpPr>
        <xdr:cNvPr id="13" name="12 CuadroTexto"/>
        <xdr:cNvSpPr txBox="1"/>
      </xdr:nvSpPr>
      <xdr:spPr>
        <a:xfrm>
          <a:off x="2808601" y="4152216"/>
          <a:ext cx="2015895" cy="987137"/>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MX" sz="1800" b="1"/>
            <a:t>REGRESAR AL MENU DE INICIO</a:t>
          </a:r>
        </a:p>
      </xdr:txBody>
    </xdr:sp>
    <xdr:clientData/>
  </xdr:twoCellAnchor>
  <xdr:twoCellAnchor>
    <xdr:from>
      <xdr:col>2</xdr:col>
      <xdr:colOff>625930</xdr:colOff>
      <xdr:row>27</xdr:row>
      <xdr:rowOff>50428</xdr:rowOff>
    </xdr:from>
    <xdr:to>
      <xdr:col>5</xdr:col>
      <xdr:colOff>435429</xdr:colOff>
      <xdr:row>32</xdr:row>
      <xdr:rowOff>88846</xdr:rowOff>
    </xdr:to>
    <xdr:sp macro="[0]!Revision" textlink="">
      <xdr:nvSpPr>
        <xdr:cNvPr id="7" name="6 CuadroTexto"/>
        <xdr:cNvSpPr txBox="1"/>
      </xdr:nvSpPr>
      <xdr:spPr>
        <a:xfrm>
          <a:off x="2799871" y="5294781"/>
          <a:ext cx="2028264" cy="990918"/>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ctr"/>
        <a:lstStyle/>
        <a:p>
          <a:pPr marL="0" indent="0" algn="ctr"/>
          <a:r>
            <a:rPr lang="es-MX" sz="1800" b="1">
              <a:solidFill>
                <a:schemeClr val="lt1"/>
              </a:solidFill>
              <a:latin typeface="+mn-lt"/>
              <a:ea typeface="+mn-ea"/>
              <a:cs typeface="+mn-cs"/>
            </a:rPr>
            <a:t>REGRESAR A HOJA DE REVISION</a:t>
          </a:r>
        </a:p>
      </xdr:txBody>
    </xdr:sp>
    <xdr:clientData/>
  </xdr:twoCellAnchor>
  <xdr:twoCellAnchor editAs="oneCell">
    <xdr:from>
      <xdr:col>14</xdr:col>
      <xdr:colOff>122463</xdr:colOff>
      <xdr:row>0</xdr:row>
      <xdr:rowOff>95251</xdr:rowOff>
    </xdr:from>
    <xdr:to>
      <xdr:col>16</xdr:col>
      <xdr:colOff>541563</xdr:colOff>
      <xdr:row>4</xdr:row>
      <xdr:rowOff>186138</xdr:rowOff>
    </xdr:to>
    <xdr:pic>
      <xdr:nvPicPr>
        <xdr:cNvPr id="8" name="7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429999" y="95251"/>
          <a:ext cx="1943100" cy="852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285749</xdr:colOff>
      <xdr:row>8</xdr:row>
      <xdr:rowOff>190499</xdr:rowOff>
    </xdr:from>
    <xdr:to>
      <xdr:col>15</xdr:col>
      <xdr:colOff>381000</xdr:colOff>
      <xdr:row>32</xdr:row>
      <xdr:rowOff>40272</xdr:rowOff>
    </xdr:to>
    <xdr:pic>
      <xdr:nvPicPr>
        <xdr:cNvPr id="9" name="8 Imagen"/>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7182" t="19153" r="35613" b="7551"/>
        <a:stretch/>
      </xdr:blipFill>
      <xdr:spPr bwMode="auto">
        <a:xfrm>
          <a:off x="6313713" y="1768928"/>
          <a:ext cx="6136823" cy="4489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367393</xdr:colOff>
      <xdr:row>0</xdr:row>
      <xdr:rowOff>10886</xdr:rowOff>
    </xdr:from>
    <xdr:to>
      <xdr:col>1</xdr:col>
      <xdr:colOff>671628</xdr:colOff>
      <xdr:row>5</xdr:row>
      <xdr:rowOff>115661</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393" y="10886"/>
          <a:ext cx="106623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161925</xdr:colOff>
      <xdr:row>4</xdr:row>
      <xdr:rowOff>66674</xdr:rowOff>
    </xdr:from>
    <xdr:to>
      <xdr:col>6</xdr:col>
      <xdr:colOff>358775</xdr:colOff>
      <xdr:row>8</xdr:row>
      <xdr:rowOff>171449</xdr:rowOff>
    </xdr:to>
    <xdr:pic>
      <xdr:nvPicPr>
        <xdr:cNvPr id="4" name="3 Imagen" descr="C:\Documents and Settings\Solksjaer\Mis documentos\Copia de uach.gif"/>
        <xdr:cNvPicPr/>
      </xdr:nvPicPr>
      <xdr:blipFill>
        <a:blip xmlns:r="http://schemas.openxmlformats.org/officeDocument/2006/relationships" r:embed="rId2" r:link="rId3"/>
        <a:srcRect/>
        <a:stretch>
          <a:fillRect/>
        </a:stretch>
      </xdr:blipFill>
      <xdr:spPr bwMode="auto">
        <a:xfrm>
          <a:off x="8667750" y="828674"/>
          <a:ext cx="958850" cy="866775"/>
        </a:xfrm>
        <a:prstGeom prst="rect">
          <a:avLst/>
        </a:prstGeom>
        <a:noFill/>
        <a:ln w="9525">
          <a:noFill/>
          <a:miter lim="800000"/>
          <a:headEnd/>
          <a:tailEnd/>
        </a:ln>
      </xdr:spPr>
    </xdr:pic>
    <xdr:clientData/>
  </xdr:twoCellAnchor>
  <xdr:twoCellAnchor>
    <xdr:from>
      <xdr:col>1</xdr:col>
      <xdr:colOff>91142</xdr:colOff>
      <xdr:row>27</xdr:row>
      <xdr:rowOff>89647</xdr:rowOff>
    </xdr:from>
    <xdr:to>
      <xdr:col>3</xdr:col>
      <xdr:colOff>593369</xdr:colOff>
      <xdr:row>32</xdr:row>
      <xdr:rowOff>124284</xdr:rowOff>
    </xdr:to>
    <xdr:sp macro="[0]!REGRESAR" textlink="">
      <xdr:nvSpPr>
        <xdr:cNvPr id="6" name="5 CuadroTexto"/>
        <xdr:cNvSpPr txBox="1"/>
      </xdr:nvSpPr>
      <xdr:spPr>
        <a:xfrm>
          <a:off x="853142" y="5855447"/>
          <a:ext cx="2026227" cy="987137"/>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MX" sz="1800" b="1"/>
            <a:t>REGRESAR AL MENU DE INICIO</a:t>
          </a:r>
        </a:p>
      </xdr:txBody>
    </xdr:sp>
    <xdr:clientData/>
  </xdr:twoCellAnchor>
  <xdr:twoCellAnchor>
    <xdr:from>
      <xdr:col>4</xdr:col>
      <xdr:colOff>419100</xdr:colOff>
      <xdr:row>27</xdr:row>
      <xdr:rowOff>88900</xdr:rowOff>
    </xdr:from>
    <xdr:to>
      <xdr:col>7</xdr:col>
      <xdr:colOff>160563</xdr:colOff>
      <xdr:row>32</xdr:row>
      <xdr:rowOff>129719</xdr:rowOff>
    </xdr:to>
    <xdr:sp macro="[0]!Revision" textlink="">
      <xdr:nvSpPr>
        <xdr:cNvPr id="7" name="6 CuadroTexto"/>
        <xdr:cNvSpPr txBox="1"/>
      </xdr:nvSpPr>
      <xdr:spPr>
        <a:xfrm>
          <a:off x="3467100" y="5854700"/>
          <a:ext cx="2027463" cy="993319"/>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ctr"/>
        <a:lstStyle/>
        <a:p>
          <a:pPr marL="0" indent="0" algn="ctr"/>
          <a:r>
            <a:rPr lang="es-MX" sz="1800" b="1">
              <a:solidFill>
                <a:schemeClr val="lt1"/>
              </a:solidFill>
              <a:latin typeface="+mn-lt"/>
              <a:ea typeface="+mn-ea"/>
              <a:cs typeface="+mn-cs"/>
            </a:rPr>
            <a:t>REGRESAR A HOJA DE REVISION</a:t>
          </a:r>
        </a:p>
      </xdr:txBody>
    </xdr:sp>
    <xdr:clientData/>
  </xdr:twoCellAnchor>
  <xdr:twoCellAnchor editAs="oneCell">
    <xdr:from>
      <xdr:col>8</xdr:col>
      <xdr:colOff>749300</xdr:colOff>
      <xdr:row>0</xdr:row>
      <xdr:rowOff>101600</xdr:rowOff>
    </xdr:from>
    <xdr:to>
      <xdr:col>11</xdr:col>
      <xdr:colOff>406400</xdr:colOff>
      <xdr:row>5</xdr:row>
      <xdr:rowOff>1987</xdr:rowOff>
    </xdr:to>
    <xdr:pic>
      <xdr:nvPicPr>
        <xdr:cNvPr id="8" name="7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45300" y="101600"/>
          <a:ext cx="1943100" cy="852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136071</xdr:colOff>
      <xdr:row>8</xdr:row>
      <xdr:rowOff>136072</xdr:rowOff>
    </xdr:from>
    <xdr:to>
      <xdr:col>15</xdr:col>
      <xdr:colOff>462643</xdr:colOff>
      <xdr:row>29</xdr:row>
      <xdr:rowOff>13608</xdr:rowOff>
    </xdr:to>
    <xdr:pic>
      <xdr:nvPicPr>
        <xdr:cNvPr id="9" name="8 Imagen"/>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1208" t="20946" r="42226" b="27027"/>
        <a:stretch/>
      </xdr:blipFill>
      <xdr:spPr bwMode="auto">
        <a:xfrm>
          <a:off x="5470071" y="1660072"/>
          <a:ext cx="6422572" cy="446314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269875</xdr:colOff>
      <xdr:row>0</xdr:row>
      <xdr:rowOff>38100</xdr:rowOff>
    </xdr:from>
    <xdr:to>
      <xdr:col>1</xdr:col>
      <xdr:colOff>367735</xdr:colOff>
      <xdr:row>5</xdr:row>
      <xdr:rowOff>142875</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875" y="38100"/>
          <a:ext cx="1069410"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161925</xdr:colOff>
      <xdr:row>4</xdr:row>
      <xdr:rowOff>66674</xdr:rowOff>
    </xdr:from>
    <xdr:to>
      <xdr:col>6</xdr:col>
      <xdr:colOff>358775</xdr:colOff>
      <xdr:row>8</xdr:row>
      <xdr:rowOff>171449</xdr:rowOff>
    </xdr:to>
    <xdr:pic>
      <xdr:nvPicPr>
        <xdr:cNvPr id="4" name="3 Imagen" descr="C:\Documents and Settings\Solksjaer\Mis documentos\Copia de uach.gif"/>
        <xdr:cNvPicPr/>
      </xdr:nvPicPr>
      <xdr:blipFill>
        <a:blip xmlns:r="http://schemas.openxmlformats.org/officeDocument/2006/relationships" r:embed="rId2" r:link="rId3"/>
        <a:srcRect/>
        <a:stretch>
          <a:fillRect/>
        </a:stretch>
      </xdr:blipFill>
      <xdr:spPr bwMode="auto">
        <a:xfrm>
          <a:off x="4181475" y="828674"/>
          <a:ext cx="958850" cy="866775"/>
        </a:xfrm>
        <a:prstGeom prst="rect">
          <a:avLst/>
        </a:prstGeom>
        <a:noFill/>
        <a:ln w="9525">
          <a:noFill/>
          <a:miter lim="800000"/>
          <a:headEnd/>
          <a:tailEnd/>
        </a:ln>
      </xdr:spPr>
    </xdr:pic>
    <xdr:clientData/>
  </xdr:twoCellAnchor>
  <xdr:oneCellAnchor>
    <xdr:from>
      <xdr:col>0</xdr:col>
      <xdr:colOff>1381125</xdr:colOff>
      <xdr:row>15</xdr:row>
      <xdr:rowOff>166687</xdr:rowOff>
    </xdr:from>
    <xdr:ext cx="714375" cy="264560"/>
    <mc:AlternateContent xmlns:mc="http://schemas.openxmlformats.org/markup-compatibility/2006" xmlns:a14="http://schemas.microsoft.com/office/drawing/2010/main">
      <mc:Choice Requires="a14">
        <xdr:sp macro="" textlink="">
          <xdr:nvSpPr>
            <xdr:cNvPr id="5" name="4 CuadroTexto"/>
            <xdr:cNvSpPr txBox="1"/>
          </xdr:nvSpPr>
          <xdr:spPr>
            <a:xfrm>
              <a:off x="1381125" y="13635037"/>
              <a:ext cx="7143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m:rPr>
                        <m:nor/>
                      </m:rPr>
                      <a:rPr lang="es-MX" sz="1100" i="1">
                        <a:solidFill>
                          <a:schemeClr val="tx1"/>
                        </a:solidFill>
                        <a:effectLst/>
                        <a:latin typeface="+mn-lt"/>
                        <a:ea typeface="+mn-ea"/>
                        <a:cs typeface="+mn-cs"/>
                      </a:rPr>
                      <m:t>R</m:t>
                    </m:r>
                    <m:r>
                      <m:rPr>
                        <m:nor/>
                      </m:rPr>
                      <a:rPr lang="es-MX" sz="1100" i="1" baseline="-25000">
                        <a:solidFill>
                          <a:schemeClr val="tx1"/>
                        </a:solidFill>
                        <a:effectLst/>
                        <a:latin typeface="+mn-lt"/>
                        <a:ea typeface="+mn-ea"/>
                        <a:cs typeface="+mn-cs"/>
                      </a:rPr>
                      <m:t>c</m:t>
                    </m:r>
                    <m:r>
                      <m:rPr>
                        <m:nor/>
                      </m:rPr>
                      <a:rPr lang="es-MX" sz="1100" i="1">
                        <a:solidFill>
                          <a:schemeClr val="tx1"/>
                        </a:solidFill>
                        <a:effectLst/>
                        <a:latin typeface="+mn-lt"/>
                        <a:ea typeface="+mn-ea"/>
                        <a:cs typeface="+mn-cs"/>
                      </a:rPr>
                      <m:t> = </m:t>
                    </m:r>
                    <m:r>
                      <m:rPr>
                        <m:nor/>
                      </m:rPr>
                      <a:rPr lang="es-MX" sz="1100" i="1">
                        <a:solidFill>
                          <a:schemeClr val="tx1"/>
                        </a:solidFill>
                        <a:effectLst/>
                        <a:latin typeface="+mn-lt"/>
                        <a:ea typeface="+mn-ea"/>
                        <a:cs typeface="+mn-cs"/>
                      </a:rPr>
                      <m:t>b</m:t>
                    </m:r>
                    <m:r>
                      <m:rPr>
                        <m:nor/>
                      </m:rPr>
                      <a:rPr lang="es-MX" sz="1100" i="1">
                        <a:solidFill>
                          <a:schemeClr val="tx1"/>
                        </a:solidFill>
                        <a:effectLst/>
                        <a:latin typeface="+mn-lt"/>
                        <a:ea typeface="+mn-ea"/>
                        <a:cs typeface="+mn-cs"/>
                      </a:rPr>
                      <m:t>/</m:t>
                    </m:r>
                    <m:r>
                      <m:rPr>
                        <m:nor/>
                      </m:rPr>
                      <a:rPr lang="es-MX" sz="1100" i="1">
                        <a:solidFill>
                          <a:schemeClr val="tx1"/>
                        </a:solidFill>
                        <a:effectLst/>
                        <a:latin typeface="+mn-lt"/>
                        <a:ea typeface="+mn-ea"/>
                        <a:cs typeface="+mn-cs"/>
                      </a:rPr>
                      <m:t>Sh</m:t>
                    </m:r>
                  </m:oMath>
                </m:oMathPara>
              </a14:m>
              <a:endParaRPr lang="es-MX" sz="1100"/>
            </a:p>
          </xdr:txBody>
        </xdr:sp>
      </mc:Choice>
      <mc:Fallback xmlns="">
        <xdr:sp macro="" textlink="">
          <xdr:nvSpPr>
            <xdr:cNvPr id="5" name="4 CuadroTexto"/>
            <xdr:cNvSpPr txBox="1"/>
          </xdr:nvSpPr>
          <xdr:spPr>
            <a:xfrm>
              <a:off x="1381125" y="13635037"/>
              <a:ext cx="7143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i="0">
                  <a:solidFill>
                    <a:schemeClr val="tx1"/>
                  </a:solidFill>
                  <a:effectLst/>
                  <a:latin typeface="Cambria Math"/>
                  <a:ea typeface="+mn-ea"/>
                  <a:cs typeface="+mn-cs"/>
                </a:rPr>
                <a:t>"R</a:t>
              </a:r>
              <a:r>
                <a:rPr lang="es-MX" sz="1100" i="0" baseline="-25000">
                  <a:solidFill>
                    <a:schemeClr val="tx1"/>
                  </a:solidFill>
                  <a:effectLst/>
                  <a:latin typeface="Cambria Math"/>
                  <a:ea typeface="+mn-ea"/>
                  <a:cs typeface="+mn-cs"/>
                </a:rPr>
                <a:t>c</a:t>
              </a:r>
              <a:r>
                <a:rPr lang="es-MX" sz="1100" i="0">
                  <a:solidFill>
                    <a:schemeClr val="tx1"/>
                  </a:solidFill>
                  <a:effectLst/>
                  <a:latin typeface="Cambria Math"/>
                  <a:ea typeface="+mn-ea"/>
                  <a:cs typeface="+mn-cs"/>
                </a:rPr>
                <a:t> = b/Sh</a:t>
              </a:r>
              <a:r>
                <a:rPr lang="es-MX" sz="1100" i="0">
                  <a:solidFill>
                    <a:schemeClr val="tx1"/>
                  </a:solidFill>
                  <a:effectLst/>
                  <a:latin typeface="+mn-lt"/>
                  <a:ea typeface="+mn-ea"/>
                  <a:cs typeface="+mn-cs"/>
                </a:rPr>
                <a:t>"</a:t>
              </a:r>
              <a:endParaRPr lang="es-MX" sz="1100"/>
            </a:p>
          </xdr:txBody>
        </xdr:sp>
      </mc:Fallback>
    </mc:AlternateContent>
    <xdr:clientData/>
  </xdr:oneCellAnchor>
  <xdr:twoCellAnchor>
    <xdr:from>
      <xdr:col>3</xdr:col>
      <xdr:colOff>206375</xdr:colOff>
      <xdr:row>30</xdr:row>
      <xdr:rowOff>95250</xdr:rowOff>
    </xdr:from>
    <xdr:to>
      <xdr:col>5</xdr:col>
      <xdr:colOff>708602</xdr:colOff>
      <xdr:row>35</xdr:row>
      <xdr:rowOff>50512</xdr:rowOff>
    </xdr:to>
    <xdr:sp macro="[0]!REGRESAR2" textlink="">
      <xdr:nvSpPr>
        <xdr:cNvPr id="7" name="6 CuadroTexto"/>
        <xdr:cNvSpPr txBox="1"/>
      </xdr:nvSpPr>
      <xdr:spPr>
        <a:xfrm>
          <a:off x="2492375" y="6048375"/>
          <a:ext cx="2026227" cy="987137"/>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MX" sz="1800" b="1"/>
            <a:t>REGRESAR AL MENU DE INICIO</a:t>
          </a:r>
        </a:p>
      </xdr:txBody>
    </xdr:sp>
    <xdr:clientData/>
  </xdr:twoCellAnchor>
  <xdr:twoCellAnchor editAs="oneCell">
    <xdr:from>
      <xdr:col>9</xdr:col>
      <xdr:colOff>0</xdr:colOff>
      <xdr:row>0</xdr:row>
      <xdr:rowOff>68037</xdr:rowOff>
    </xdr:from>
    <xdr:to>
      <xdr:col>11</xdr:col>
      <xdr:colOff>419100</xdr:colOff>
      <xdr:row>4</xdr:row>
      <xdr:rowOff>158924</xdr:rowOff>
    </xdr:to>
    <xdr:pic>
      <xdr:nvPicPr>
        <xdr:cNvPr id="8" name="7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58000" y="68037"/>
          <a:ext cx="1943100" cy="852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304235</xdr:colOff>
      <xdr:row>5</xdr:row>
      <xdr:rowOff>142875</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7325" y="38100"/>
          <a:ext cx="106623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161925</xdr:colOff>
      <xdr:row>4</xdr:row>
      <xdr:rowOff>66674</xdr:rowOff>
    </xdr:from>
    <xdr:to>
      <xdr:col>6</xdr:col>
      <xdr:colOff>358775</xdr:colOff>
      <xdr:row>8</xdr:row>
      <xdr:rowOff>171449</xdr:rowOff>
    </xdr:to>
    <xdr:pic>
      <xdr:nvPicPr>
        <xdr:cNvPr id="4" name="3 Imagen" descr="C:\Documents and Settings\Solksjaer\Mis documentos\Copia de uach.gif"/>
        <xdr:cNvPicPr/>
      </xdr:nvPicPr>
      <xdr:blipFill>
        <a:blip xmlns:r="http://schemas.openxmlformats.org/officeDocument/2006/relationships" r:embed="rId2" r:link="rId3"/>
        <a:srcRect/>
        <a:stretch>
          <a:fillRect/>
        </a:stretch>
      </xdr:blipFill>
      <xdr:spPr bwMode="auto">
        <a:xfrm>
          <a:off x="8477250" y="828674"/>
          <a:ext cx="901700" cy="866775"/>
        </a:xfrm>
        <a:prstGeom prst="rect">
          <a:avLst/>
        </a:prstGeom>
        <a:noFill/>
        <a:ln w="9525">
          <a:noFill/>
          <a:miter lim="800000"/>
          <a:headEnd/>
          <a:tailEnd/>
        </a:ln>
      </xdr:spPr>
    </xdr:pic>
    <xdr:clientData/>
  </xdr:twoCellAnchor>
  <xdr:twoCellAnchor>
    <xdr:from>
      <xdr:col>8</xdr:col>
      <xdr:colOff>79375</xdr:colOff>
      <xdr:row>33</xdr:row>
      <xdr:rowOff>63500</xdr:rowOff>
    </xdr:from>
    <xdr:to>
      <xdr:col>10</xdr:col>
      <xdr:colOff>581602</xdr:colOff>
      <xdr:row>38</xdr:row>
      <xdr:rowOff>98137</xdr:rowOff>
    </xdr:to>
    <xdr:sp macro="[0]!REGRESAR3" textlink="">
      <xdr:nvSpPr>
        <xdr:cNvPr id="7" name="6 CuadroTexto"/>
        <xdr:cNvSpPr txBox="1"/>
      </xdr:nvSpPr>
      <xdr:spPr>
        <a:xfrm>
          <a:off x="6953250" y="6350000"/>
          <a:ext cx="2026227" cy="987137"/>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MX" sz="1800" b="1"/>
            <a:t>REGRESAR AL MENU DE INICIO</a:t>
          </a:r>
        </a:p>
      </xdr:txBody>
    </xdr:sp>
    <xdr:clientData/>
  </xdr:twoCellAnchor>
  <xdr:twoCellAnchor editAs="oneCell">
    <xdr:from>
      <xdr:col>9</xdr:col>
      <xdr:colOff>285750</xdr:colOff>
      <xdr:row>0</xdr:row>
      <xdr:rowOff>63500</xdr:rowOff>
    </xdr:from>
    <xdr:to>
      <xdr:col>11</xdr:col>
      <xdr:colOff>704850</xdr:colOff>
      <xdr:row>4</xdr:row>
      <xdr:rowOff>154387</xdr:rowOff>
    </xdr:to>
    <xdr:pic>
      <xdr:nvPicPr>
        <xdr:cNvPr id="8" name="7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21625" y="63500"/>
          <a:ext cx="1943100" cy="852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258534</xdr:colOff>
      <xdr:row>12</xdr:row>
      <xdr:rowOff>421821</xdr:rowOff>
    </xdr:from>
    <xdr:to>
      <xdr:col>6</xdr:col>
      <xdr:colOff>98556</xdr:colOff>
      <xdr:row>35</xdr:row>
      <xdr:rowOff>152463</xdr:rowOff>
    </xdr:to>
    <xdr:pic>
      <xdr:nvPicPr>
        <xdr:cNvPr id="10" name="9 Imagen"/>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31715" t="6676" r="32324" b="13946"/>
        <a:stretch/>
      </xdr:blipFill>
      <xdr:spPr bwMode="auto">
        <a:xfrm>
          <a:off x="258534" y="2707821"/>
          <a:ext cx="5187629" cy="43706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593456</xdr:colOff>
      <xdr:row>0</xdr:row>
      <xdr:rowOff>51708</xdr:rowOff>
    </xdr:from>
    <xdr:to>
      <xdr:col>6</xdr:col>
      <xdr:colOff>19050</xdr:colOff>
      <xdr:row>5</xdr:row>
      <xdr:rowOff>40822</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8670" y="51708"/>
          <a:ext cx="949594" cy="941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610161</xdr:colOff>
      <xdr:row>4</xdr:row>
      <xdr:rowOff>66674</xdr:rowOff>
    </xdr:from>
    <xdr:to>
      <xdr:col>9</xdr:col>
      <xdr:colOff>714936</xdr:colOff>
      <xdr:row>8</xdr:row>
      <xdr:rowOff>171449</xdr:rowOff>
    </xdr:to>
    <xdr:pic>
      <xdr:nvPicPr>
        <xdr:cNvPr id="4" name="3 Imagen" descr="C:\Documents and Settings\Solksjaer\Mis documentos\Copia de uach.gif"/>
        <xdr:cNvPicPr/>
      </xdr:nvPicPr>
      <xdr:blipFill>
        <a:blip xmlns:r="http://schemas.openxmlformats.org/officeDocument/2006/relationships" r:embed="rId2" r:link="rId3"/>
        <a:srcRect/>
        <a:stretch>
          <a:fillRect/>
        </a:stretch>
      </xdr:blipFill>
      <xdr:spPr bwMode="auto">
        <a:xfrm>
          <a:off x="2896161" y="828674"/>
          <a:ext cx="895350" cy="866775"/>
        </a:xfrm>
        <a:prstGeom prst="rect">
          <a:avLst/>
        </a:prstGeom>
        <a:noFill/>
        <a:ln w="9525">
          <a:noFill/>
          <a:miter lim="800000"/>
          <a:headEnd/>
          <a:tailEnd/>
        </a:ln>
      </xdr:spPr>
    </xdr:pic>
    <xdr:clientData/>
  </xdr:twoCellAnchor>
  <xdr:oneCellAnchor>
    <xdr:from>
      <xdr:col>2</xdr:col>
      <xdr:colOff>618564</xdr:colOff>
      <xdr:row>54</xdr:row>
      <xdr:rowOff>52667</xdr:rowOff>
    </xdr:from>
    <xdr:ext cx="1420905" cy="444609"/>
    <mc:AlternateContent xmlns:mc="http://schemas.openxmlformats.org/markup-compatibility/2006" xmlns:a14="http://schemas.microsoft.com/office/drawing/2010/main">
      <mc:Choice Requires="a14">
        <xdr:sp macro="" textlink="">
          <xdr:nvSpPr>
            <xdr:cNvPr id="5" name="4 CuadroTexto"/>
            <xdr:cNvSpPr txBox="1"/>
          </xdr:nvSpPr>
          <xdr:spPr>
            <a:xfrm>
              <a:off x="2176182" y="10933579"/>
              <a:ext cx="1420905" cy="444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𝜎</m:t>
                        </m:r>
                      </m:e>
                      <m:sub>
                        <m:r>
                          <a:rPr lang="es-MX" sz="1100" i="1">
                            <a:solidFill>
                              <a:schemeClr val="tx1"/>
                            </a:solidFill>
                            <a:effectLst/>
                            <a:latin typeface="Cambria Math"/>
                            <a:ea typeface="+mn-ea"/>
                            <a:cs typeface="+mn-cs"/>
                          </a:rPr>
                          <m:t>𝑣</m:t>
                        </m:r>
                      </m:sub>
                    </m:sSub>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r>
                          <a:rPr lang="es-MX" sz="1100" i="1">
                            <a:solidFill>
                              <a:schemeClr val="tx1"/>
                            </a:solidFill>
                            <a:effectLst/>
                            <a:latin typeface="Cambria Math"/>
                            <a:ea typeface="+mn-ea"/>
                            <a:cs typeface="+mn-cs"/>
                          </a:rPr>
                          <m:t>𝑃</m:t>
                        </m:r>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𝑣</m:t>
                        </m:r>
                      </m:num>
                      <m:den>
                        <m:r>
                          <a:rPr lang="es-MX" sz="1100" i="1">
                            <a:solidFill>
                              <a:schemeClr val="tx1"/>
                            </a:solidFill>
                            <a:effectLst/>
                            <a:latin typeface="Cambria Math"/>
                            <a:ea typeface="+mn-ea"/>
                            <a:cs typeface="+mn-cs"/>
                          </a:rPr>
                          <m:t>𝐷𝑖</m:t>
                        </m:r>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𝐿</m:t>
                        </m:r>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𝑍</m:t>
                        </m:r>
                        <m:r>
                          <a:rPr lang="es-MX" sz="1100" i="1">
                            <a:solidFill>
                              <a:schemeClr val="tx1"/>
                            </a:solidFill>
                            <a:effectLst/>
                            <a:latin typeface="Cambria Math"/>
                            <a:ea typeface="+mn-ea"/>
                            <a:cs typeface="+mn-cs"/>
                          </a:rPr>
                          <m:t>1)</m:t>
                        </m:r>
                      </m:den>
                    </m:f>
                  </m:oMath>
                </m:oMathPara>
              </a14:m>
              <a:endParaRPr lang="es-MX" sz="1100"/>
            </a:p>
          </xdr:txBody>
        </xdr:sp>
      </mc:Choice>
      <mc:Fallback xmlns="">
        <xdr:sp macro="" textlink="">
          <xdr:nvSpPr>
            <xdr:cNvPr id="5" name="4 CuadroTexto"/>
            <xdr:cNvSpPr txBox="1"/>
          </xdr:nvSpPr>
          <xdr:spPr>
            <a:xfrm>
              <a:off x="2176182" y="10933579"/>
              <a:ext cx="1420905" cy="444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i="0">
                  <a:solidFill>
                    <a:schemeClr val="tx1"/>
                  </a:solidFill>
                  <a:effectLst/>
                  <a:latin typeface="+mn-lt"/>
                  <a:ea typeface="+mn-ea"/>
                  <a:cs typeface="+mn-cs"/>
                </a:rPr>
                <a:t>∆𝜎_𝑣=(𝑃´𝑣)/(𝐷𝑖(𝐿+𝑍1))</a:t>
              </a:r>
              <a:endParaRPr lang="es-MX" sz="1100"/>
            </a:p>
          </xdr:txBody>
        </xdr:sp>
      </mc:Fallback>
    </mc:AlternateContent>
    <xdr:clientData/>
  </xdr:oneCellAnchor>
  <xdr:twoCellAnchor>
    <xdr:from>
      <xdr:col>20</xdr:col>
      <xdr:colOff>136070</xdr:colOff>
      <xdr:row>74</xdr:row>
      <xdr:rowOff>68035</xdr:rowOff>
    </xdr:from>
    <xdr:to>
      <xdr:col>22</xdr:col>
      <xdr:colOff>638297</xdr:colOff>
      <xdr:row>79</xdr:row>
      <xdr:rowOff>102672</xdr:rowOff>
    </xdr:to>
    <xdr:sp macro="[0]!REGRESAR2" textlink="">
      <xdr:nvSpPr>
        <xdr:cNvPr id="9" name="8 CuadroTexto"/>
        <xdr:cNvSpPr txBox="1"/>
      </xdr:nvSpPr>
      <xdr:spPr>
        <a:xfrm>
          <a:off x="15403284" y="14886214"/>
          <a:ext cx="2026227" cy="987137"/>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MX" sz="1800" b="1"/>
            <a:t>REGRESAR AL MENU DE INICIO</a:t>
          </a:r>
        </a:p>
      </xdr:txBody>
    </xdr:sp>
    <xdr:clientData/>
  </xdr:twoCellAnchor>
  <xdr:twoCellAnchor editAs="oneCell">
    <xdr:from>
      <xdr:col>13</xdr:col>
      <xdr:colOff>68036</xdr:colOff>
      <xdr:row>0</xdr:row>
      <xdr:rowOff>68036</xdr:rowOff>
    </xdr:from>
    <xdr:to>
      <xdr:col>15</xdr:col>
      <xdr:colOff>94067</xdr:colOff>
      <xdr:row>3</xdr:row>
      <xdr:rowOff>176893</xdr:rowOff>
    </xdr:to>
    <xdr:pic>
      <xdr:nvPicPr>
        <xdr:cNvPr id="10" name="9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001250" y="68036"/>
          <a:ext cx="1550031" cy="680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204107</xdr:colOff>
      <xdr:row>2</xdr:row>
      <xdr:rowOff>68035</xdr:rowOff>
    </xdr:from>
    <xdr:to>
      <xdr:col>22</xdr:col>
      <xdr:colOff>706334</xdr:colOff>
      <xdr:row>7</xdr:row>
      <xdr:rowOff>102672</xdr:rowOff>
    </xdr:to>
    <xdr:sp macro="[0]!REGRESAR2" textlink="">
      <xdr:nvSpPr>
        <xdr:cNvPr id="11" name="10 CuadroTexto"/>
        <xdr:cNvSpPr txBox="1"/>
      </xdr:nvSpPr>
      <xdr:spPr>
        <a:xfrm>
          <a:off x="15471321" y="449035"/>
          <a:ext cx="2026227" cy="987137"/>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MX" sz="1800" b="1"/>
            <a:t>REGRESAR AL MENU DE INICIO</a:t>
          </a:r>
        </a:p>
      </xdr:txBody>
    </xdr:sp>
    <xdr:clientData/>
  </xdr:twoCellAnchor>
  <xdr:twoCellAnchor editAs="oneCell">
    <xdr:from>
      <xdr:col>8</xdr:col>
      <xdr:colOff>421820</xdr:colOff>
      <xdr:row>13</xdr:row>
      <xdr:rowOff>81643</xdr:rowOff>
    </xdr:from>
    <xdr:to>
      <xdr:col>19</xdr:col>
      <xdr:colOff>693965</xdr:colOff>
      <xdr:row>41</xdr:row>
      <xdr:rowOff>99465</xdr:rowOff>
    </xdr:to>
    <xdr:pic>
      <xdr:nvPicPr>
        <xdr:cNvPr id="12" name="11 Imagen"/>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4158" r="29633" b="6158"/>
        <a:stretch/>
      </xdr:blipFill>
      <xdr:spPr bwMode="auto">
        <a:xfrm>
          <a:off x="6545034" y="2830286"/>
          <a:ext cx="8654145" cy="5515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476250</xdr:colOff>
      <xdr:row>45</xdr:row>
      <xdr:rowOff>136071</xdr:rowOff>
    </xdr:from>
    <xdr:to>
      <xdr:col>15</xdr:col>
      <xdr:colOff>136071</xdr:colOff>
      <xdr:row>79</xdr:row>
      <xdr:rowOff>122735</xdr:rowOff>
    </xdr:to>
    <xdr:pic>
      <xdr:nvPicPr>
        <xdr:cNvPr id="13" name="12 Imagen"/>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6618" r="40110"/>
        <a:stretch/>
      </xdr:blipFill>
      <xdr:spPr bwMode="auto">
        <a:xfrm>
          <a:off x="5837464" y="9307285"/>
          <a:ext cx="5755821" cy="65861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0</xdr:row>
      <xdr:rowOff>57150</xdr:rowOff>
    </xdr:from>
    <xdr:to>
      <xdr:col>2</xdr:col>
      <xdr:colOff>28575</xdr:colOff>
      <xdr:row>4</xdr:row>
      <xdr:rowOff>69636</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57150"/>
          <a:ext cx="781050" cy="774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610161</xdr:colOff>
      <xdr:row>4</xdr:row>
      <xdr:rowOff>66674</xdr:rowOff>
    </xdr:from>
    <xdr:to>
      <xdr:col>5</xdr:col>
      <xdr:colOff>599893</xdr:colOff>
      <xdr:row>8</xdr:row>
      <xdr:rowOff>171449</xdr:rowOff>
    </xdr:to>
    <xdr:pic>
      <xdr:nvPicPr>
        <xdr:cNvPr id="4" name="3 Imagen" descr="C:\Documents and Settings\Solksjaer\Mis documentos\Copia de uach.gif"/>
        <xdr:cNvPicPr/>
      </xdr:nvPicPr>
      <xdr:blipFill>
        <a:blip xmlns:r="http://schemas.openxmlformats.org/officeDocument/2006/relationships" r:embed="rId2" r:link="rId3"/>
        <a:srcRect/>
        <a:stretch>
          <a:fillRect/>
        </a:stretch>
      </xdr:blipFill>
      <xdr:spPr bwMode="auto">
        <a:xfrm>
          <a:off x="2896161" y="828674"/>
          <a:ext cx="895350" cy="866775"/>
        </a:xfrm>
        <a:prstGeom prst="rect">
          <a:avLst/>
        </a:prstGeom>
        <a:noFill/>
        <a:ln w="9525">
          <a:noFill/>
          <a:miter lim="800000"/>
          <a:headEnd/>
          <a:tailEnd/>
        </a:ln>
      </xdr:spPr>
    </xdr:pic>
    <xdr:clientData/>
  </xdr:twoCellAnchor>
  <xdr:oneCellAnchor>
    <xdr:from>
      <xdr:col>2</xdr:col>
      <xdr:colOff>379343</xdr:colOff>
      <xdr:row>41</xdr:row>
      <xdr:rowOff>52181</xdr:rowOff>
    </xdr:from>
    <xdr:ext cx="1152940" cy="453059"/>
    <mc:AlternateContent xmlns:mc="http://schemas.openxmlformats.org/markup-compatibility/2006" xmlns:a14="http://schemas.microsoft.com/office/drawing/2010/main">
      <mc:Choice Requires="a14">
        <xdr:sp macro="" textlink="">
          <xdr:nvSpPr>
            <xdr:cNvPr id="7" name="6 CuadroTexto"/>
            <xdr:cNvSpPr txBox="1"/>
          </xdr:nvSpPr>
          <xdr:spPr>
            <a:xfrm>
              <a:off x="2665343" y="9096790"/>
              <a:ext cx="1152940" cy="453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𝐹</m:t>
                        </m:r>
                      </m:e>
                      <m:sub>
                        <m:r>
                          <a:rPr lang="es-MX" sz="1100" i="1">
                            <a:solidFill>
                              <a:schemeClr val="tx1"/>
                            </a:solidFill>
                            <a:effectLst/>
                            <a:latin typeface="Cambria Math"/>
                            <a:ea typeface="+mn-ea"/>
                            <a:cs typeface="+mn-cs"/>
                          </a:rPr>
                          <m:t>1</m:t>
                        </m:r>
                      </m:sub>
                    </m:sSub>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r>
                          <a:rPr lang="es-MX" sz="1100" i="1">
                            <a:solidFill>
                              <a:schemeClr val="tx1"/>
                            </a:solidFill>
                            <a:effectLst/>
                            <a:latin typeface="Cambria Math"/>
                            <a:ea typeface="+mn-ea"/>
                            <a:cs typeface="+mn-cs"/>
                          </a:rPr>
                          <m:t>1</m:t>
                        </m:r>
                      </m:num>
                      <m:den>
                        <m:r>
                          <a:rPr lang="es-MX" sz="1100" i="1">
                            <a:solidFill>
                              <a:schemeClr val="tx1"/>
                            </a:solidFill>
                            <a:effectLst/>
                            <a:latin typeface="Cambria Math"/>
                            <a:ea typeface="+mn-ea"/>
                            <a:cs typeface="+mn-cs"/>
                          </a:rPr>
                          <m:t>2</m:t>
                        </m:r>
                      </m:den>
                    </m:f>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𝑘</m:t>
                        </m:r>
                      </m:e>
                      <m:sub>
                        <m:r>
                          <a:rPr lang="es-MX" sz="1100" i="1">
                            <a:solidFill>
                              <a:schemeClr val="tx1"/>
                            </a:solidFill>
                            <a:effectLst/>
                            <a:latin typeface="Cambria Math"/>
                            <a:ea typeface="+mn-ea"/>
                            <a:cs typeface="+mn-cs"/>
                          </a:rPr>
                          <m:t>𝑎</m:t>
                        </m:r>
                      </m:sub>
                    </m:sSub>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𝛾</m:t>
                        </m:r>
                      </m:e>
                      <m:sub>
                        <m:r>
                          <a:rPr lang="es-MX" sz="1100" i="1">
                            <a:solidFill>
                              <a:schemeClr val="tx1"/>
                            </a:solidFill>
                            <a:effectLst/>
                            <a:latin typeface="Cambria Math"/>
                            <a:ea typeface="+mn-ea"/>
                            <a:cs typeface="+mn-cs"/>
                          </a:rPr>
                          <m:t>𝑓</m:t>
                        </m:r>
                      </m:sub>
                    </m:sSub>
                    <m:sSup>
                      <m:sSupPr>
                        <m:ctrlPr>
                          <a:rPr lang="es-MX" sz="1100" i="1">
                            <a:solidFill>
                              <a:schemeClr val="tx1"/>
                            </a:solidFill>
                            <a:effectLst/>
                            <a:latin typeface="Cambria Math"/>
                            <a:ea typeface="+mn-ea"/>
                            <a:cs typeface="+mn-cs"/>
                          </a:rPr>
                        </m:ctrlPr>
                      </m:sSupPr>
                      <m:e>
                        <m:r>
                          <a:rPr lang="es-MX" sz="1100" i="1">
                            <a:solidFill>
                              <a:schemeClr val="tx1"/>
                            </a:solidFill>
                            <a:effectLst/>
                            <a:latin typeface="Cambria Math"/>
                            <a:ea typeface="+mn-ea"/>
                            <a:cs typeface="+mn-cs"/>
                          </a:rPr>
                          <m:t>𝐻</m:t>
                        </m:r>
                      </m:e>
                      <m:sup>
                        <m:r>
                          <a:rPr lang="es-MX" sz="1100" i="1">
                            <a:solidFill>
                              <a:schemeClr val="tx1"/>
                            </a:solidFill>
                            <a:effectLst/>
                            <a:latin typeface="Cambria Math"/>
                            <a:ea typeface="+mn-ea"/>
                            <a:cs typeface="+mn-cs"/>
                          </a:rPr>
                          <m:t>2</m:t>
                        </m:r>
                      </m:sup>
                    </m:sSup>
                  </m:oMath>
                </m:oMathPara>
              </a14:m>
              <a:endParaRPr lang="es-MX" sz="1100">
                <a:solidFill>
                  <a:schemeClr val="tx1"/>
                </a:solidFill>
                <a:effectLst/>
                <a:latin typeface="+mn-lt"/>
                <a:ea typeface="+mn-ea"/>
                <a:cs typeface="+mn-cs"/>
              </a:endParaRPr>
            </a:p>
            <a:p>
              <a:endParaRPr lang="es-MX" sz="1100"/>
            </a:p>
          </xdr:txBody>
        </xdr:sp>
      </mc:Choice>
      <mc:Fallback xmlns="">
        <xdr:sp macro="" textlink="">
          <xdr:nvSpPr>
            <xdr:cNvPr id="7" name="6 CuadroTexto"/>
            <xdr:cNvSpPr txBox="1"/>
          </xdr:nvSpPr>
          <xdr:spPr>
            <a:xfrm>
              <a:off x="2665343" y="9096790"/>
              <a:ext cx="1152940" cy="453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1100" i="0">
                  <a:solidFill>
                    <a:schemeClr val="tx1"/>
                  </a:solidFill>
                  <a:effectLst/>
                  <a:latin typeface="+mn-lt"/>
                  <a:ea typeface="+mn-ea"/>
                  <a:cs typeface="+mn-cs"/>
                </a:rPr>
                <a:t>𝐹_1=1/2 𝑘_𝑎 𝛾_𝑓 𝐻^2</a:t>
              </a:r>
              <a:endParaRPr lang="es-MX" sz="1100">
                <a:solidFill>
                  <a:schemeClr val="tx1"/>
                </a:solidFill>
                <a:effectLst/>
                <a:latin typeface="+mn-lt"/>
                <a:ea typeface="+mn-ea"/>
                <a:cs typeface="+mn-cs"/>
              </a:endParaRPr>
            </a:p>
            <a:p>
              <a:endParaRPr lang="es-MX" sz="1100"/>
            </a:p>
          </xdr:txBody>
        </xdr:sp>
      </mc:Fallback>
    </mc:AlternateContent>
    <xdr:clientData/>
  </xdr:oneCellAnchor>
  <xdr:oneCellAnchor>
    <xdr:from>
      <xdr:col>2</xdr:col>
      <xdr:colOff>412474</xdr:colOff>
      <xdr:row>55</xdr:row>
      <xdr:rowOff>168137</xdr:rowOff>
    </xdr:from>
    <xdr:ext cx="1078396" cy="345385"/>
    <mc:AlternateContent xmlns:mc="http://schemas.openxmlformats.org/markup-compatibility/2006" xmlns:a14="http://schemas.microsoft.com/office/drawing/2010/main">
      <mc:Choice Requires="a14">
        <xdr:sp macro="" textlink="">
          <xdr:nvSpPr>
            <xdr:cNvPr id="8" name="7 CuadroTexto"/>
            <xdr:cNvSpPr txBox="1"/>
          </xdr:nvSpPr>
          <xdr:spPr>
            <a:xfrm>
              <a:off x="2698474" y="11498746"/>
              <a:ext cx="1078396" cy="345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𝐹</m:t>
                        </m:r>
                      </m:e>
                      <m:sub>
                        <m:r>
                          <a:rPr lang="es-MX" sz="1100" i="1">
                            <a:solidFill>
                              <a:schemeClr val="tx1"/>
                            </a:solidFill>
                            <a:effectLst/>
                            <a:latin typeface="Cambria Math"/>
                            <a:ea typeface="+mn-ea"/>
                            <a:cs typeface="+mn-cs"/>
                          </a:rPr>
                          <m:t>2</m:t>
                        </m:r>
                      </m:sub>
                    </m:sSub>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𝑞</m:t>
                    </m:r>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𝑘</m:t>
                        </m:r>
                      </m:e>
                      <m:sub>
                        <m:r>
                          <a:rPr lang="es-MX" sz="1100" i="1">
                            <a:solidFill>
                              <a:schemeClr val="tx1"/>
                            </a:solidFill>
                            <a:effectLst/>
                            <a:latin typeface="Cambria Math"/>
                            <a:ea typeface="+mn-ea"/>
                            <a:cs typeface="+mn-cs"/>
                          </a:rPr>
                          <m:t>𝑎</m:t>
                        </m:r>
                      </m:sub>
                    </m:sSub>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𝐻</m:t>
                    </m:r>
                  </m:oMath>
                </m:oMathPara>
              </a14:m>
              <a:endParaRPr lang="es-MX" sz="1100">
                <a:solidFill>
                  <a:schemeClr val="tx1"/>
                </a:solidFill>
                <a:effectLst/>
                <a:latin typeface="+mn-lt"/>
                <a:ea typeface="+mn-ea"/>
                <a:cs typeface="+mn-cs"/>
              </a:endParaRPr>
            </a:p>
            <a:p>
              <a:endParaRPr lang="es-MX" sz="1100"/>
            </a:p>
          </xdr:txBody>
        </xdr:sp>
      </mc:Choice>
      <mc:Fallback xmlns="">
        <xdr:sp macro="" textlink="">
          <xdr:nvSpPr>
            <xdr:cNvPr id="8" name="7 CuadroTexto"/>
            <xdr:cNvSpPr txBox="1"/>
          </xdr:nvSpPr>
          <xdr:spPr>
            <a:xfrm>
              <a:off x="2698474" y="11498746"/>
              <a:ext cx="1078396" cy="345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1100" i="0">
                  <a:solidFill>
                    <a:schemeClr val="tx1"/>
                  </a:solidFill>
                  <a:effectLst/>
                  <a:latin typeface="+mn-lt"/>
                  <a:ea typeface="+mn-ea"/>
                  <a:cs typeface="+mn-cs"/>
                </a:rPr>
                <a:t>𝐹_2=𝑞∙𝑘_𝑎∙𝐻</a:t>
              </a:r>
              <a:endParaRPr lang="es-MX" sz="1100">
                <a:solidFill>
                  <a:schemeClr val="tx1"/>
                </a:solidFill>
                <a:effectLst/>
                <a:latin typeface="+mn-lt"/>
                <a:ea typeface="+mn-ea"/>
                <a:cs typeface="+mn-cs"/>
              </a:endParaRPr>
            </a:p>
            <a:p>
              <a:endParaRPr lang="es-MX" sz="1100"/>
            </a:p>
          </xdr:txBody>
        </xdr:sp>
      </mc:Fallback>
    </mc:AlternateContent>
    <xdr:clientData/>
  </xdr:oneCellAnchor>
  <xdr:oneCellAnchor>
    <xdr:from>
      <xdr:col>2</xdr:col>
      <xdr:colOff>263385</xdr:colOff>
      <xdr:row>47</xdr:row>
      <xdr:rowOff>77027</xdr:rowOff>
    </xdr:from>
    <xdr:ext cx="914400" cy="410369"/>
    <mc:AlternateContent xmlns:mc="http://schemas.openxmlformats.org/markup-compatibility/2006" xmlns:a14="http://schemas.microsoft.com/office/drawing/2010/main">
      <mc:Choice Requires="a14">
        <xdr:sp macro="" textlink="">
          <xdr:nvSpPr>
            <xdr:cNvPr id="9" name="8 CuadroTexto"/>
            <xdr:cNvSpPr txBox="1"/>
          </xdr:nvSpPr>
          <xdr:spPr>
            <a:xfrm>
              <a:off x="2549385" y="10264636"/>
              <a:ext cx="914400" cy="410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h</m:t>
                        </m:r>
                      </m:e>
                      <m:sub>
                        <m:r>
                          <a:rPr lang="es-MX" sz="1100" i="1">
                            <a:solidFill>
                              <a:schemeClr val="tx1"/>
                            </a:solidFill>
                            <a:effectLst/>
                            <a:latin typeface="Cambria Math"/>
                            <a:ea typeface="+mn-ea"/>
                            <a:cs typeface="+mn-cs"/>
                          </a:rPr>
                          <m:t>1</m:t>
                        </m:r>
                      </m:sub>
                    </m:sSub>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r>
                          <a:rPr lang="es-MX" sz="1100" i="1">
                            <a:solidFill>
                              <a:schemeClr val="tx1"/>
                            </a:solidFill>
                            <a:effectLst/>
                            <a:latin typeface="Cambria Math"/>
                            <a:ea typeface="+mn-ea"/>
                            <a:cs typeface="+mn-cs"/>
                          </a:rPr>
                          <m:t>1</m:t>
                        </m:r>
                      </m:num>
                      <m:den>
                        <m:r>
                          <a:rPr lang="es-MX" sz="1100" i="1">
                            <a:solidFill>
                              <a:schemeClr val="tx1"/>
                            </a:solidFill>
                            <a:effectLst/>
                            <a:latin typeface="Cambria Math"/>
                            <a:ea typeface="+mn-ea"/>
                            <a:cs typeface="+mn-cs"/>
                          </a:rPr>
                          <m:t>3</m:t>
                        </m:r>
                      </m:den>
                    </m:f>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𝐻</m:t>
                    </m:r>
                  </m:oMath>
                </m:oMathPara>
              </a14:m>
              <a:endParaRPr lang="es-MX" sz="1100"/>
            </a:p>
          </xdr:txBody>
        </xdr:sp>
      </mc:Choice>
      <mc:Fallback xmlns="">
        <xdr:sp macro="" textlink="">
          <xdr:nvSpPr>
            <xdr:cNvPr id="9" name="8 CuadroTexto"/>
            <xdr:cNvSpPr txBox="1"/>
          </xdr:nvSpPr>
          <xdr:spPr>
            <a:xfrm>
              <a:off x="2549385" y="10264636"/>
              <a:ext cx="914400" cy="410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r>
                <a:rPr lang="es-MX" sz="1100" i="0">
                  <a:solidFill>
                    <a:schemeClr val="tx1"/>
                  </a:solidFill>
                  <a:effectLst/>
                  <a:latin typeface="+mn-lt"/>
                  <a:ea typeface="+mn-ea"/>
                  <a:cs typeface="+mn-cs"/>
                </a:rPr>
                <a:t>ℎ_1=1/3∙𝐻</a:t>
              </a:r>
              <a:endParaRPr lang="es-MX" sz="1100"/>
            </a:p>
          </xdr:txBody>
        </xdr:sp>
      </mc:Fallback>
    </mc:AlternateContent>
    <xdr:clientData/>
  </xdr:oneCellAnchor>
  <xdr:oneCellAnchor>
    <xdr:from>
      <xdr:col>2</xdr:col>
      <xdr:colOff>139146</xdr:colOff>
      <xdr:row>35</xdr:row>
      <xdr:rowOff>0</xdr:rowOff>
    </xdr:from>
    <xdr:ext cx="1790701" cy="472694"/>
    <mc:AlternateContent xmlns:mc="http://schemas.openxmlformats.org/markup-compatibility/2006" xmlns:a14="http://schemas.microsoft.com/office/drawing/2010/main">
      <mc:Choice Requires="a14">
        <xdr:sp macro="" textlink="">
          <xdr:nvSpPr>
            <xdr:cNvPr id="11" name="10 CuadroTexto"/>
            <xdr:cNvSpPr txBox="1"/>
          </xdr:nvSpPr>
          <xdr:spPr>
            <a:xfrm>
              <a:off x="1663146" y="6914029"/>
              <a:ext cx="1790701"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𝐾</m:t>
                        </m:r>
                      </m:e>
                      <m:sub>
                        <m:r>
                          <a:rPr lang="es-MX" sz="1100" i="1">
                            <a:solidFill>
                              <a:schemeClr val="tx1"/>
                            </a:solidFill>
                            <a:effectLst/>
                            <a:latin typeface="Cambria Math"/>
                            <a:ea typeface="+mn-ea"/>
                            <a:cs typeface="+mn-cs"/>
                          </a:rPr>
                          <m:t>𝑎</m:t>
                        </m:r>
                      </m:sub>
                    </m:sSub>
                    <m:r>
                      <a:rPr lang="es-MX" sz="1100" i="1">
                        <a:solidFill>
                          <a:schemeClr val="tx1"/>
                        </a:solidFill>
                        <a:effectLst/>
                        <a:latin typeface="Cambria Math"/>
                        <a:ea typeface="+mn-ea"/>
                        <a:cs typeface="+mn-cs"/>
                      </a:rPr>
                      <m:t>=</m:t>
                    </m:r>
                    <m:sSup>
                      <m:sSupPr>
                        <m:ctrlPr>
                          <a:rPr lang="es-MX" sz="1100" i="1">
                            <a:solidFill>
                              <a:schemeClr val="tx1"/>
                            </a:solidFill>
                            <a:effectLst/>
                            <a:latin typeface="Cambria Math"/>
                            <a:ea typeface="+mn-ea"/>
                            <a:cs typeface="+mn-cs"/>
                          </a:rPr>
                        </m:ctrlPr>
                      </m:sSupPr>
                      <m:e>
                        <m:r>
                          <a:rPr lang="es-MX" sz="1100" i="1">
                            <a:solidFill>
                              <a:schemeClr val="tx1"/>
                            </a:solidFill>
                            <a:effectLst/>
                            <a:latin typeface="Cambria Math"/>
                            <a:ea typeface="+mn-ea"/>
                            <a:cs typeface="+mn-cs"/>
                          </a:rPr>
                          <m:t>𝑡𝑎𝑛</m:t>
                        </m:r>
                      </m:e>
                      <m:sup>
                        <m:r>
                          <a:rPr lang="es-MX" sz="1100" i="1">
                            <a:solidFill>
                              <a:schemeClr val="tx1"/>
                            </a:solidFill>
                            <a:effectLst/>
                            <a:latin typeface="Cambria Math"/>
                            <a:ea typeface="+mn-ea"/>
                            <a:cs typeface="+mn-cs"/>
                          </a:rPr>
                          <m:t>2</m:t>
                        </m:r>
                      </m:sup>
                    </m:sSup>
                    <m:d>
                      <m:dPr>
                        <m:ctrlPr>
                          <a:rPr lang="es-MX" sz="1100" i="1">
                            <a:solidFill>
                              <a:schemeClr val="tx1"/>
                            </a:solidFill>
                            <a:effectLst/>
                            <a:latin typeface="Cambria Math"/>
                            <a:ea typeface="+mn-ea"/>
                            <a:cs typeface="+mn-cs"/>
                          </a:rPr>
                        </m:ctrlPr>
                      </m:dPr>
                      <m:e>
                        <m:r>
                          <a:rPr lang="es-MX" sz="1100" i="1">
                            <a:solidFill>
                              <a:schemeClr val="tx1"/>
                            </a:solidFill>
                            <a:effectLst/>
                            <a:latin typeface="Cambria Math"/>
                            <a:ea typeface="+mn-ea"/>
                            <a:cs typeface="+mn-cs"/>
                          </a:rPr>
                          <m:t>45°−</m:t>
                        </m:r>
                        <m:f>
                          <m:fPr>
                            <m:ctrlPr>
                              <a:rPr lang="es-MX" sz="1100" i="1">
                                <a:solidFill>
                                  <a:schemeClr val="tx1"/>
                                </a:solidFill>
                                <a:effectLst/>
                                <a:latin typeface="Cambria Math"/>
                                <a:ea typeface="+mn-ea"/>
                                <a:cs typeface="+mn-cs"/>
                              </a:rPr>
                            </m:ctrlPr>
                          </m:fPr>
                          <m:num>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𝜑</m:t>
                                </m:r>
                              </m:e>
                              <m:sub>
                                <m:r>
                                  <a:rPr lang="es-MX" sz="1100" i="1">
                                    <a:solidFill>
                                      <a:schemeClr val="tx1"/>
                                    </a:solidFill>
                                    <a:effectLst/>
                                    <a:latin typeface="Cambria Math"/>
                                    <a:ea typeface="+mn-ea"/>
                                    <a:cs typeface="+mn-cs"/>
                                  </a:rPr>
                                  <m:t>𝑓</m:t>
                                </m:r>
                              </m:sub>
                            </m:sSub>
                          </m:num>
                          <m:den>
                            <m:r>
                              <a:rPr lang="es-MX" sz="1100" i="1">
                                <a:solidFill>
                                  <a:schemeClr val="tx1"/>
                                </a:solidFill>
                                <a:effectLst/>
                                <a:latin typeface="Cambria Math"/>
                                <a:ea typeface="+mn-ea"/>
                                <a:cs typeface="+mn-cs"/>
                              </a:rPr>
                              <m:t>2</m:t>
                            </m:r>
                          </m:den>
                        </m:f>
                      </m:e>
                    </m:d>
                  </m:oMath>
                </m:oMathPara>
              </a14:m>
              <a:endParaRPr lang="es-MX" sz="1100"/>
            </a:p>
          </xdr:txBody>
        </xdr:sp>
      </mc:Choice>
      <mc:Fallback xmlns="">
        <xdr:sp macro="" textlink="">
          <xdr:nvSpPr>
            <xdr:cNvPr id="11" name="10 CuadroTexto"/>
            <xdr:cNvSpPr txBox="1"/>
          </xdr:nvSpPr>
          <xdr:spPr>
            <a:xfrm>
              <a:off x="1663146" y="6914029"/>
              <a:ext cx="1790701"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i="0">
                  <a:solidFill>
                    <a:schemeClr val="tx1"/>
                  </a:solidFill>
                  <a:effectLst/>
                  <a:latin typeface="Cambria Math"/>
                  <a:ea typeface="+mn-ea"/>
                  <a:cs typeface="+mn-cs"/>
                </a:rPr>
                <a:t>𝐾_𝑎=〖𝑡𝑎𝑛〗^2 (45°−𝜑_𝑓/2)</a:t>
              </a:r>
              <a:endParaRPr lang="es-MX" sz="1100"/>
            </a:p>
          </xdr:txBody>
        </xdr:sp>
      </mc:Fallback>
    </mc:AlternateContent>
    <xdr:clientData/>
  </xdr:oneCellAnchor>
  <xdr:oneCellAnchor>
    <xdr:from>
      <xdr:col>2</xdr:col>
      <xdr:colOff>478733</xdr:colOff>
      <xdr:row>61</xdr:row>
      <xdr:rowOff>85310</xdr:rowOff>
    </xdr:from>
    <xdr:ext cx="914400" cy="410369"/>
    <mc:AlternateContent xmlns:mc="http://schemas.openxmlformats.org/markup-compatibility/2006" xmlns:a14="http://schemas.microsoft.com/office/drawing/2010/main">
      <mc:Choice Requires="a14">
        <xdr:sp macro="" textlink="">
          <xdr:nvSpPr>
            <xdr:cNvPr id="13" name="12 CuadroTexto"/>
            <xdr:cNvSpPr txBox="1"/>
          </xdr:nvSpPr>
          <xdr:spPr>
            <a:xfrm>
              <a:off x="2764733" y="12981332"/>
              <a:ext cx="914400" cy="410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h</m:t>
                        </m:r>
                      </m:e>
                      <m:sub>
                        <m:r>
                          <a:rPr lang="es-MX" sz="1100" b="0" i="1">
                            <a:solidFill>
                              <a:schemeClr val="tx1"/>
                            </a:solidFill>
                            <a:effectLst/>
                            <a:latin typeface="Cambria Math"/>
                            <a:ea typeface="+mn-ea"/>
                            <a:cs typeface="+mn-cs"/>
                          </a:rPr>
                          <m:t>2</m:t>
                        </m:r>
                      </m:sub>
                    </m:sSub>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r>
                          <a:rPr lang="es-MX" sz="1100" i="1">
                            <a:solidFill>
                              <a:schemeClr val="tx1"/>
                            </a:solidFill>
                            <a:effectLst/>
                            <a:latin typeface="Cambria Math"/>
                            <a:ea typeface="+mn-ea"/>
                            <a:cs typeface="+mn-cs"/>
                          </a:rPr>
                          <m:t>1</m:t>
                        </m:r>
                      </m:num>
                      <m:den>
                        <m:r>
                          <a:rPr lang="es-MX" sz="1100" b="0" i="1">
                            <a:solidFill>
                              <a:schemeClr val="tx1"/>
                            </a:solidFill>
                            <a:effectLst/>
                            <a:latin typeface="Cambria Math"/>
                            <a:ea typeface="+mn-ea"/>
                            <a:cs typeface="+mn-cs"/>
                          </a:rPr>
                          <m:t>2</m:t>
                        </m:r>
                      </m:den>
                    </m:f>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𝐻</m:t>
                    </m:r>
                  </m:oMath>
                </m:oMathPara>
              </a14:m>
              <a:endParaRPr lang="es-MX" sz="1100"/>
            </a:p>
          </xdr:txBody>
        </xdr:sp>
      </mc:Choice>
      <mc:Fallback xmlns="">
        <xdr:sp macro="" textlink="">
          <xdr:nvSpPr>
            <xdr:cNvPr id="13" name="12 CuadroTexto"/>
            <xdr:cNvSpPr txBox="1"/>
          </xdr:nvSpPr>
          <xdr:spPr>
            <a:xfrm>
              <a:off x="2764733" y="12981332"/>
              <a:ext cx="914400" cy="410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r>
                <a:rPr lang="es-MX" sz="1100" i="0">
                  <a:solidFill>
                    <a:schemeClr val="tx1"/>
                  </a:solidFill>
                  <a:effectLst/>
                  <a:latin typeface="+mn-lt"/>
                  <a:ea typeface="+mn-ea"/>
                  <a:cs typeface="+mn-cs"/>
                </a:rPr>
                <a:t>ℎ_</a:t>
              </a:r>
              <a:r>
                <a:rPr lang="es-MX" sz="1100" b="0" i="0">
                  <a:solidFill>
                    <a:schemeClr val="tx1"/>
                  </a:solidFill>
                  <a:effectLst/>
                  <a:latin typeface="Cambria Math"/>
                  <a:ea typeface="+mn-ea"/>
                  <a:cs typeface="+mn-cs"/>
                </a:rPr>
                <a:t>2</a:t>
              </a:r>
              <a:r>
                <a:rPr lang="es-MX" sz="1100" i="0">
                  <a:solidFill>
                    <a:schemeClr val="tx1"/>
                  </a:solidFill>
                  <a:effectLst/>
                  <a:latin typeface="+mn-lt"/>
                  <a:ea typeface="+mn-ea"/>
                  <a:cs typeface="+mn-cs"/>
                </a:rPr>
                <a:t>=1/</a:t>
              </a:r>
              <a:r>
                <a:rPr lang="es-MX" sz="1100" b="0" i="0">
                  <a:solidFill>
                    <a:schemeClr val="tx1"/>
                  </a:solidFill>
                  <a:effectLst/>
                  <a:latin typeface="Cambria Math"/>
                  <a:ea typeface="+mn-ea"/>
                  <a:cs typeface="+mn-cs"/>
                </a:rPr>
                <a:t>2</a:t>
              </a:r>
              <a:r>
                <a:rPr lang="es-MX" sz="1100" i="0">
                  <a:solidFill>
                    <a:schemeClr val="tx1"/>
                  </a:solidFill>
                  <a:effectLst/>
                  <a:latin typeface="+mn-lt"/>
                  <a:ea typeface="+mn-ea"/>
                  <a:cs typeface="+mn-cs"/>
                </a:rPr>
                <a:t>∙𝐻</a:t>
              </a:r>
              <a:endParaRPr lang="es-MX" sz="1100"/>
            </a:p>
          </xdr:txBody>
        </xdr:sp>
      </mc:Fallback>
    </mc:AlternateContent>
    <xdr:clientData/>
  </xdr:oneCellAnchor>
  <xdr:oneCellAnchor>
    <xdr:from>
      <xdr:col>1</xdr:col>
      <xdr:colOff>246821</xdr:colOff>
      <xdr:row>67</xdr:row>
      <xdr:rowOff>151571</xdr:rowOff>
    </xdr:from>
    <xdr:ext cx="1293744" cy="264560"/>
    <mc:AlternateContent xmlns:mc="http://schemas.openxmlformats.org/markup-compatibility/2006" xmlns:a14="http://schemas.microsoft.com/office/drawing/2010/main">
      <mc:Choice Requires="a14">
        <xdr:sp macro="" textlink="">
          <xdr:nvSpPr>
            <xdr:cNvPr id="14" name="13 CuadroTexto"/>
            <xdr:cNvSpPr txBox="1"/>
          </xdr:nvSpPr>
          <xdr:spPr>
            <a:xfrm>
              <a:off x="1008821" y="13238093"/>
              <a:ext cx="129374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𝐴</m:t>
                        </m:r>
                      </m:e>
                      <m:sub>
                        <m:r>
                          <a:rPr lang="es-MX" sz="1100" i="1">
                            <a:solidFill>
                              <a:schemeClr val="tx1"/>
                            </a:solidFill>
                            <a:effectLst/>
                            <a:latin typeface="Cambria Math"/>
                            <a:ea typeface="+mn-ea"/>
                            <a:cs typeface="+mn-cs"/>
                          </a:rPr>
                          <m:t>𝑚</m:t>
                        </m:r>
                      </m:sub>
                    </m:sSub>
                    <m:r>
                      <a:rPr lang="es-MX" sz="1100" i="1">
                        <a:solidFill>
                          <a:schemeClr val="tx1"/>
                        </a:solidFill>
                        <a:effectLst/>
                        <a:latin typeface="Cambria Math"/>
                        <a:ea typeface="+mn-ea"/>
                        <a:cs typeface="+mn-cs"/>
                      </a:rPr>
                      <m:t>=</m:t>
                    </m:r>
                    <m:d>
                      <m:dPr>
                        <m:ctrlPr>
                          <a:rPr lang="es-MX" sz="1100" i="1">
                            <a:solidFill>
                              <a:schemeClr val="tx1"/>
                            </a:solidFill>
                            <a:effectLst/>
                            <a:latin typeface="Cambria Math"/>
                            <a:ea typeface="+mn-ea"/>
                            <a:cs typeface="+mn-cs"/>
                          </a:rPr>
                        </m:ctrlPr>
                      </m:dPr>
                      <m:e>
                        <m:r>
                          <a:rPr lang="es-MX" sz="1100" i="1">
                            <a:solidFill>
                              <a:schemeClr val="tx1"/>
                            </a:solidFill>
                            <a:effectLst/>
                            <a:latin typeface="Cambria Math"/>
                            <a:ea typeface="+mn-ea"/>
                            <a:cs typeface="+mn-cs"/>
                          </a:rPr>
                          <m:t>1.45−</m:t>
                        </m:r>
                        <m:r>
                          <a:rPr lang="es-MX" sz="1100" i="1">
                            <a:solidFill>
                              <a:schemeClr val="tx1"/>
                            </a:solidFill>
                            <a:effectLst/>
                            <a:latin typeface="Cambria Math"/>
                            <a:ea typeface="+mn-ea"/>
                            <a:cs typeface="+mn-cs"/>
                          </a:rPr>
                          <m:t>𝐴</m:t>
                        </m:r>
                      </m:e>
                    </m:d>
                    <m:r>
                      <a:rPr lang="es-MX" sz="1100" i="1">
                        <a:solidFill>
                          <a:schemeClr val="tx1"/>
                        </a:solidFill>
                        <a:effectLst/>
                        <a:latin typeface="Cambria Math"/>
                        <a:ea typeface="+mn-ea"/>
                        <a:cs typeface="+mn-cs"/>
                      </a:rPr>
                      <m:t>𝐴</m:t>
                    </m:r>
                  </m:oMath>
                </m:oMathPara>
              </a14:m>
              <a:endParaRPr lang="es-MX" sz="1100"/>
            </a:p>
          </xdr:txBody>
        </xdr:sp>
      </mc:Choice>
      <mc:Fallback xmlns="">
        <xdr:sp macro="" textlink="">
          <xdr:nvSpPr>
            <xdr:cNvPr id="14" name="13 CuadroTexto"/>
            <xdr:cNvSpPr txBox="1"/>
          </xdr:nvSpPr>
          <xdr:spPr>
            <a:xfrm>
              <a:off x="1008821" y="13238093"/>
              <a:ext cx="129374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i="0">
                  <a:solidFill>
                    <a:schemeClr val="tx1"/>
                  </a:solidFill>
                  <a:effectLst/>
                  <a:latin typeface="+mn-lt"/>
                  <a:ea typeface="+mn-ea"/>
                  <a:cs typeface="+mn-cs"/>
                </a:rPr>
                <a:t>𝐴_𝑚=(1.45−𝐴)𝐴</a:t>
              </a:r>
              <a:endParaRPr lang="es-MX" sz="1100"/>
            </a:p>
          </xdr:txBody>
        </xdr:sp>
      </mc:Fallback>
    </mc:AlternateContent>
    <xdr:clientData/>
  </xdr:oneCellAnchor>
  <xdr:oneCellAnchor>
    <xdr:from>
      <xdr:col>2</xdr:col>
      <xdr:colOff>301072</xdr:colOff>
      <xdr:row>77</xdr:row>
      <xdr:rowOff>68745</xdr:rowOff>
    </xdr:from>
    <xdr:ext cx="1293744" cy="294440"/>
    <mc:AlternateContent xmlns:mc="http://schemas.openxmlformats.org/markup-compatibility/2006" xmlns:a14="http://schemas.microsoft.com/office/drawing/2010/main">
      <mc:Choice Requires="a14">
        <xdr:sp macro="" textlink="">
          <xdr:nvSpPr>
            <xdr:cNvPr id="15" name="14 CuadroTexto"/>
            <xdr:cNvSpPr txBox="1"/>
          </xdr:nvSpPr>
          <xdr:spPr>
            <a:xfrm>
              <a:off x="1825072" y="15194445"/>
              <a:ext cx="1293744" cy="294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𝑃</m:t>
                        </m:r>
                      </m:e>
                      <m:sub>
                        <m:r>
                          <a:rPr lang="es-MX" sz="1100" i="1">
                            <a:solidFill>
                              <a:schemeClr val="tx1"/>
                            </a:solidFill>
                            <a:effectLst/>
                            <a:latin typeface="Cambria Math"/>
                            <a:ea typeface="+mn-ea"/>
                            <a:cs typeface="+mn-cs"/>
                          </a:rPr>
                          <m:t>𝐼𝑅</m:t>
                        </m:r>
                      </m:sub>
                    </m:sSub>
                    <m:r>
                      <a:rPr lang="es-MX" sz="1100" i="1">
                        <a:solidFill>
                          <a:schemeClr val="tx1"/>
                        </a:solidFill>
                        <a:effectLst/>
                        <a:latin typeface="Cambria Math"/>
                        <a:ea typeface="+mn-ea"/>
                        <a:cs typeface="+mn-cs"/>
                      </a:rPr>
                      <m:t>=0.5</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𝐴</m:t>
                        </m:r>
                      </m:e>
                      <m:sub>
                        <m:r>
                          <a:rPr lang="es-MX" sz="1100" i="1">
                            <a:solidFill>
                              <a:schemeClr val="tx1"/>
                            </a:solidFill>
                            <a:effectLst/>
                            <a:latin typeface="Cambria Math"/>
                            <a:ea typeface="+mn-ea"/>
                            <a:cs typeface="+mn-cs"/>
                          </a:rPr>
                          <m:t>𝑚</m:t>
                        </m:r>
                      </m:sub>
                    </m:sSub>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𝛾</m:t>
                        </m:r>
                      </m:e>
                      <m:sub>
                        <m:r>
                          <a:rPr lang="es-MX" sz="1100" i="1">
                            <a:solidFill>
                              <a:schemeClr val="tx1"/>
                            </a:solidFill>
                            <a:effectLst/>
                            <a:latin typeface="Cambria Math"/>
                            <a:ea typeface="+mn-ea"/>
                            <a:cs typeface="+mn-cs"/>
                          </a:rPr>
                          <m:t>𝑟</m:t>
                        </m:r>
                      </m:sub>
                    </m:sSub>
                    <m:sSup>
                      <m:sSupPr>
                        <m:ctrlPr>
                          <a:rPr lang="es-MX" sz="1100" i="1">
                            <a:solidFill>
                              <a:schemeClr val="tx1"/>
                            </a:solidFill>
                            <a:effectLst/>
                            <a:latin typeface="Cambria Math"/>
                            <a:ea typeface="+mn-ea"/>
                            <a:cs typeface="+mn-cs"/>
                          </a:rPr>
                        </m:ctrlPr>
                      </m:sSupPr>
                      <m:e>
                        <m:r>
                          <a:rPr lang="es-MX" sz="1100" i="1">
                            <a:solidFill>
                              <a:schemeClr val="tx1"/>
                            </a:solidFill>
                            <a:effectLst/>
                            <a:latin typeface="Cambria Math"/>
                            <a:ea typeface="+mn-ea"/>
                            <a:cs typeface="+mn-cs"/>
                          </a:rPr>
                          <m:t>𝐻</m:t>
                        </m:r>
                      </m:e>
                      <m:sup>
                        <m:r>
                          <a:rPr lang="es-MX" sz="1100" i="1">
                            <a:solidFill>
                              <a:schemeClr val="tx1"/>
                            </a:solidFill>
                            <a:effectLst/>
                            <a:latin typeface="Cambria Math"/>
                            <a:ea typeface="+mn-ea"/>
                            <a:cs typeface="+mn-cs"/>
                          </a:rPr>
                          <m:t>2</m:t>
                        </m:r>
                      </m:sup>
                    </m:sSup>
                  </m:oMath>
                </m:oMathPara>
              </a14:m>
              <a:endParaRPr lang="es-MX" sz="1100"/>
            </a:p>
          </xdr:txBody>
        </xdr:sp>
      </mc:Choice>
      <mc:Fallback xmlns="">
        <xdr:sp macro="" textlink="">
          <xdr:nvSpPr>
            <xdr:cNvPr id="15" name="14 CuadroTexto"/>
            <xdr:cNvSpPr txBox="1"/>
          </xdr:nvSpPr>
          <xdr:spPr>
            <a:xfrm>
              <a:off x="1825072" y="15194445"/>
              <a:ext cx="1293744" cy="294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i="0">
                  <a:solidFill>
                    <a:schemeClr val="tx1"/>
                  </a:solidFill>
                  <a:effectLst/>
                  <a:latin typeface="Cambria Math"/>
                  <a:ea typeface="+mn-ea"/>
                  <a:cs typeface="+mn-cs"/>
                </a:rPr>
                <a:t>𝑃_𝐼𝑅=0.5𝐴_𝑚 𝛾_𝑟 𝐻^2</a:t>
              </a:r>
              <a:endParaRPr lang="es-MX" sz="1100"/>
            </a:p>
          </xdr:txBody>
        </xdr:sp>
      </mc:Fallback>
    </mc:AlternateContent>
    <xdr:clientData/>
  </xdr:oneCellAnchor>
  <xdr:oneCellAnchor>
    <xdr:from>
      <xdr:col>2</xdr:col>
      <xdr:colOff>269185</xdr:colOff>
      <xdr:row>82</xdr:row>
      <xdr:rowOff>49696</xdr:rowOff>
    </xdr:from>
    <xdr:ext cx="914400" cy="409215"/>
    <mc:AlternateContent xmlns:mc="http://schemas.openxmlformats.org/markup-compatibility/2006" xmlns:a14="http://schemas.microsoft.com/office/drawing/2010/main">
      <mc:Choice Requires="a14">
        <xdr:sp macro="" textlink="">
          <xdr:nvSpPr>
            <xdr:cNvPr id="16" name="15 CuadroTexto"/>
            <xdr:cNvSpPr txBox="1"/>
          </xdr:nvSpPr>
          <xdr:spPr>
            <a:xfrm>
              <a:off x="1793185" y="16204096"/>
              <a:ext cx="914400" cy="4092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h</m:t>
                        </m:r>
                      </m:e>
                      <m:sub>
                        <m:sSub>
                          <m:sSubPr>
                            <m:ctrlPr>
                              <a:rPr lang="es-MX" sz="1100" i="1">
                                <a:solidFill>
                                  <a:schemeClr val="tx1"/>
                                </a:solidFill>
                                <a:effectLst/>
                                <a:latin typeface="Cambria Math"/>
                                <a:ea typeface="+mn-ea"/>
                                <a:cs typeface="+mn-cs"/>
                              </a:rPr>
                            </m:ctrlPr>
                          </m:sSubPr>
                          <m:e>
                            <m:r>
                              <a:rPr lang="es-MX" sz="1100" b="0" i="1">
                                <a:solidFill>
                                  <a:schemeClr val="tx1"/>
                                </a:solidFill>
                                <a:effectLst/>
                                <a:latin typeface="Cambria Math"/>
                                <a:ea typeface="+mn-ea"/>
                                <a:cs typeface="+mn-cs"/>
                              </a:rPr>
                              <m:t>𝑃</m:t>
                            </m:r>
                          </m:e>
                          <m:sub>
                            <m:r>
                              <a:rPr lang="es-MX" sz="1100" b="0" i="1">
                                <a:solidFill>
                                  <a:schemeClr val="tx1"/>
                                </a:solidFill>
                                <a:effectLst/>
                                <a:latin typeface="Cambria Math"/>
                                <a:ea typeface="+mn-ea"/>
                                <a:cs typeface="+mn-cs"/>
                              </a:rPr>
                              <m:t>𝐼𝑅</m:t>
                            </m:r>
                          </m:sub>
                        </m:sSub>
                      </m:sub>
                    </m:sSub>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r>
                          <a:rPr lang="es-MX" sz="1100" i="1">
                            <a:solidFill>
                              <a:schemeClr val="tx1"/>
                            </a:solidFill>
                            <a:effectLst/>
                            <a:latin typeface="Cambria Math"/>
                            <a:ea typeface="+mn-ea"/>
                            <a:cs typeface="+mn-cs"/>
                          </a:rPr>
                          <m:t>1</m:t>
                        </m:r>
                      </m:num>
                      <m:den>
                        <m:r>
                          <a:rPr lang="es-MX" sz="1100" b="0" i="1">
                            <a:solidFill>
                              <a:schemeClr val="tx1"/>
                            </a:solidFill>
                            <a:effectLst/>
                            <a:latin typeface="Cambria Math"/>
                            <a:ea typeface="+mn-ea"/>
                            <a:cs typeface="+mn-cs"/>
                          </a:rPr>
                          <m:t>2</m:t>
                        </m:r>
                      </m:den>
                    </m:f>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𝐻</m:t>
                    </m:r>
                  </m:oMath>
                </m:oMathPara>
              </a14:m>
              <a:endParaRPr lang="es-MX" sz="1100"/>
            </a:p>
          </xdr:txBody>
        </xdr:sp>
      </mc:Choice>
      <mc:Fallback xmlns="">
        <xdr:sp macro="" textlink="">
          <xdr:nvSpPr>
            <xdr:cNvPr id="16" name="15 CuadroTexto"/>
            <xdr:cNvSpPr txBox="1"/>
          </xdr:nvSpPr>
          <xdr:spPr>
            <a:xfrm>
              <a:off x="1793185" y="16204096"/>
              <a:ext cx="914400" cy="4092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es-MX" sz="1100" i="0">
                  <a:solidFill>
                    <a:schemeClr val="tx1"/>
                  </a:solidFill>
                  <a:effectLst/>
                  <a:latin typeface="Cambria Math"/>
                  <a:ea typeface="+mn-ea"/>
                  <a:cs typeface="+mn-cs"/>
                </a:rPr>
                <a:t>ℎ_(</a:t>
              </a:r>
              <a:r>
                <a:rPr lang="es-MX" sz="1100" b="0" i="0">
                  <a:solidFill>
                    <a:schemeClr val="tx1"/>
                  </a:solidFill>
                  <a:effectLst/>
                  <a:latin typeface="Cambria Math"/>
                  <a:ea typeface="+mn-ea"/>
                  <a:cs typeface="+mn-cs"/>
                </a:rPr>
                <a:t>𝑃_𝐼𝑅 )</a:t>
              </a:r>
              <a:r>
                <a:rPr lang="es-MX" sz="1100" i="0">
                  <a:solidFill>
                    <a:schemeClr val="tx1"/>
                  </a:solidFill>
                  <a:effectLst/>
                  <a:latin typeface="Cambria Math"/>
                  <a:ea typeface="+mn-ea"/>
                  <a:cs typeface="+mn-cs"/>
                </a:rPr>
                <a:t>=1/</a:t>
              </a:r>
              <a:r>
                <a:rPr lang="es-MX" sz="1100" b="0" i="0">
                  <a:solidFill>
                    <a:schemeClr val="tx1"/>
                  </a:solidFill>
                  <a:effectLst/>
                  <a:latin typeface="Cambria Math"/>
                  <a:ea typeface="+mn-ea"/>
                  <a:cs typeface="+mn-cs"/>
                </a:rPr>
                <a:t>2</a:t>
              </a:r>
              <a:r>
                <a:rPr lang="es-MX" sz="1100" i="0">
                  <a:solidFill>
                    <a:schemeClr val="tx1"/>
                  </a:solidFill>
                  <a:effectLst/>
                  <a:latin typeface="Cambria Math"/>
                  <a:ea typeface="+mn-ea"/>
                  <a:cs typeface="+mn-cs"/>
                </a:rPr>
                <a:t>∙𝐻</a:t>
              </a:r>
              <a:endParaRPr lang="es-MX" sz="1100"/>
            </a:p>
          </xdr:txBody>
        </xdr:sp>
      </mc:Fallback>
    </mc:AlternateContent>
    <xdr:clientData/>
  </xdr:oneCellAnchor>
  <xdr:oneCellAnchor>
    <xdr:from>
      <xdr:col>2</xdr:col>
      <xdr:colOff>247235</xdr:colOff>
      <xdr:row>88</xdr:row>
      <xdr:rowOff>46382</xdr:rowOff>
    </xdr:from>
    <xdr:ext cx="1542223" cy="316946"/>
    <mc:AlternateContent xmlns:mc="http://schemas.openxmlformats.org/markup-compatibility/2006" xmlns:a14="http://schemas.microsoft.com/office/drawing/2010/main">
      <mc:Choice Requires="a14">
        <xdr:sp macro="" textlink="">
          <xdr:nvSpPr>
            <xdr:cNvPr id="18" name="17 CuadroTexto"/>
            <xdr:cNvSpPr txBox="1"/>
          </xdr:nvSpPr>
          <xdr:spPr>
            <a:xfrm>
              <a:off x="1771235" y="17419982"/>
              <a:ext cx="1542223" cy="3169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𝑃</m:t>
                        </m:r>
                      </m:e>
                      <m:sub>
                        <m:r>
                          <a:rPr lang="es-MX" sz="1100" i="1">
                            <a:solidFill>
                              <a:schemeClr val="tx1"/>
                            </a:solidFill>
                            <a:effectLst/>
                            <a:latin typeface="Cambria Math"/>
                            <a:ea typeface="+mn-ea"/>
                            <a:cs typeface="+mn-cs"/>
                          </a:rPr>
                          <m:t>𝐴𝐸</m:t>
                        </m:r>
                      </m:sub>
                    </m:sSub>
                    <m:r>
                      <a:rPr lang="es-MX" sz="1100" i="1">
                        <a:solidFill>
                          <a:schemeClr val="tx1"/>
                        </a:solidFill>
                        <a:effectLst/>
                        <a:latin typeface="Cambria Math"/>
                        <a:ea typeface="+mn-ea"/>
                        <a:cs typeface="+mn-cs"/>
                      </a:rPr>
                      <m:t>=0.375</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𝐴</m:t>
                        </m:r>
                      </m:e>
                      <m:sub>
                        <m:r>
                          <a:rPr lang="es-MX" sz="1100" i="1">
                            <a:solidFill>
                              <a:schemeClr val="tx1"/>
                            </a:solidFill>
                            <a:effectLst/>
                            <a:latin typeface="Cambria Math"/>
                            <a:ea typeface="+mn-ea"/>
                            <a:cs typeface="+mn-cs"/>
                          </a:rPr>
                          <m:t>𝑚</m:t>
                        </m:r>
                      </m:sub>
                    </m:sSub>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𝛾</m:t>
                        </m:r>
                      </m:e>
                      <m:sub>
                        <m:r>
                          <a:rPr lang="es-MX" sz="1100" i="1">
                            <a:solidFill>
                              <a:schemeClr val="tx1"/>
                            </a:solidFill>
                            <a:effectLst/>
                            <a:latin typeface="Cambria Math"/>
                            <a:ea typeface="+mn-ea"/>
                            <a:cs typeface="+mn-cs"/>
                          </a:rPr>
                          <m:t>𝑓</m:t>
                        </m:r>
                      </m:sub>
                    </m:sSub>
                    <m:sSup>
                      <m:sSupPr>
                        <m:ctrlPr>
                          <a:rPr lang="es-MX" sz="1100" i="1">
                            <a:solidFill>
                              <a:schemeClr val="tx1"/>
                            </a:solidFill>
                            <a:effectLst/>
                            <a:latin typeface="Cambria Math"/>
                            <a:ea typeface="+mn-ea"/>
                            <a:cs typeface="+mn-cs"/>
                          </a:rPr>
                        </m:ctrlPr>
                      </m:sSupPr>
                      <m:e>
                        <m:r>
                          <a:rPr lang="es-MX" sz="1100" i="1">
                            <a:solidFill>
                              <a:schemeClr val="tx1"/>
                            </a:solidFill>
                            <a:effectLst/>
                            <a:latin typeface="Cambria Math"/>
                            <a:ea typeface="+mn-ea"/>
                            <a:cs typeface="+mn-cs"/>
                          </a:rPr>
                          <m:t>𝐻</m:t>
                        </m:r>
                      </m:e>
                      <m:sup>
                        <m:r>
                          <a:rPr lang="es-MX" sz="1100" i="1">
                            <a:solidFill>
                              <a:schemeClr val="tx1"/>
                            </a:solidFill>
                            <a:effectLst/>
                            <a:latin typeface="Cambria Math"/>
                            <a:ea typeface="+mn-ea"/>
                            <a:cs typeface="+mn-cs"/>
                          </a:rPr>
                          <m:t>2</m:t>
                        </m:r>
                      </m:sup>
                    </m:sSup>
                  </m:oMath>
                </m:oMathPara>
              </a14:m>
              <a:endParaRPr lang="es-MX" sz="1100"/>
            </a:p>
          </xdr:txBody>
        </xdr:sp>
      </mc:Choice>
      <mc:Fallback xmlns="">
        <xdr:sp macro="" textlink="">
          <xdr:nvSpPr>
            <xdr:cNvPr id="18" name="17 CuadroTexto"/>
            <xdr:cNvSpPr txBox="1"/>
          </xdr:nvSpPr>
          <xdr:spPr>
            <a:xfrm>
              <a:off x="1771235" y="17419982"/>
              <a:ext cx="1542223" cy="3169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i="0">
                  <a:solidFill>
                    <a:schemeClr val="tx1"/>
                  </a:solidFill>
                  <a:effectLst/>
                  <a:latin typeface="Cambria Math"/>
                  <a:ea typeface="+mn-ea"/>
                  <a:cs typeface="+mn-cs"/>
                </a:rPr>
                <a:t>𝑃_𝐴𝐸=0.375𝐴_𝑚 𝛾_𝑓 𝐻^2</a:t>
              </a:r>
              <a:endParaRPr lang="es-MX" sz="1100"/>
            </a:p>
          </xdr:txBody>
        </xdr:sp>
      </mc:Fallback>
    </mc:AlternateContent>
    <xdr:clientData/>
  </xdr:oneCellAnchor>
  <xdr:oneCellAnchor>
    <xdr:from>
      <xdr:col>1</xdr:col>
      <xdr:colOff>737152</xdr:colOff>
      <xdr:row>93</xdr:row>
      <xdr:rowOff>140805</xdr:rowOff>
    </xdr:from>
    <xdr:ext cx="1542223" cy="283219"/>
    <mc:AlternateContent xmlns:mc="http://schemas.openxmlformats.org/markup-compatibility/2006" xmlns:a14="http://schemas.microsoft.com/office/drawing/2010/main">
      <mc:Choice Requires="a14">
        <xdr:sp macro="" textlink="">
          <xdr:nvSpPr>
            <xdr:cNvPr id="19" name="18 CuadroTexto"/>
            <xdr:cNvSpPr txBox="1"/>
          </xdr:nvSpPr>
          <xdr:spPr>
            <a:xfrm>
              <a:off x="1499152" y="18577892"/>
              <a:ext cx="1542223" cy="283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b="0" i="1">
                            <a:solidFill>
                              <a:schemeClr val="tx1"/>
                            </a:solidFill>
                            <a:effectLst/>
                            <a:latin typeface="Cambria Math"/>
                            <a:ea typeface="+mn-ea"/>
                            <a:cs typeface="+mn-cs"/>
                          </a:rPr>
                          <m:t>h</m:t>
                        </m:r>
                      </m:e>
                      <m:sub>
                        <m:sSub>
                          <m:sSubPr>
                            <m:ctrlPr>
                              <a:rPr lang="es-MX" sz="1100" i="1">
                                <a:solidFill>
                                  <a:schemeClr val="tx1"/>
                                </a:solidFill>
                                <a:effectLst/>
                                <a:latin typeface="Cambria Math"/>
                                <a:ea typeface="+mn-ea"/>
                                <a:cs typeface="+mn-cs"/>
                              </a:rPr>
                            </m:ctrlPr>
                          </m:sSubPr>
                          <m:e>
                            <m:r>
                              <a:rPr lang="es-MX" sz="1100" b="0" i="1">
                                <a:solidFill>
                                  <a:schemeClr val="tx1"/>
                                </a:solidFill>
                                <a:effectLst/>
                                <a:latin typeface="Cambria Math"/>
                                <a:ea typeface="+mn-ea"/>
                                <a:cs typeface="+mn-cs"/>
                              </a:rPr>
                              <m:t>𝑃</m:t>
                            </m:r>
                          </m:e>
                          <m:sub>
                            <m:r>
                              <a:rPr lang="es-MX" sz="1100" b="0" i="1">
                                <a:solidFill>
                                  <a:schemeClr val="tx1"/>
                                </a:solidFill>
                                <a:effectLst/>
                                <a:latin typeface="Cambria Math"/>
                                <a:ea typeface="+mn-ea"/>
                                <a:cs typeface="+mn-cs"/>
                              </a:rPr>
                              <m:t>𝐴𝐸</m:t>
                            </m:r>
                          </m:sub>
                        </m:sSub>
                      </m:sub>
                    </m:sSub>
                    <m:r>
                      <a:rPr lang="es-MX" sz="1100" i="1">
                        <a:solidFill>
                          <a:schemeClr val="tx1"/>
                        </a:solidFill>
                        <a:effectLst/>
                        <a:latin typeface="Cambria Math"/>
                        <a:ea typeface="+mn-ea"/>
                        <a:cs typeface="+mn-cs"/>
                      </a:rPr>
                      <m:t>=</m:t>
                    </m:r>
                    <m:r>
                      <a:rPr lang="es-MX" sz="1100" b="0" i="1">
                        <a:solidFill>
                          <a:schemeClr val="tx1"/>
                        </a:solidFill>
                        <a:effectLst/>
                        <a:latin typeface="Cambria Math"/>
                        <a:ea typeface="+mn-ea"/>
                        <a:cs typeface="+mn-cs"/>
                      </a:rPr>
                      <m:t>0.6 </m:t>
                    </m:r>
                    <m:r>
                      <a:rPr lang="es-MX" sz="1100" b="0" i="1">
                        <a:solidFill>
                          <a:schemeClr val="tx1"/>
                        </a:solidFill>
                        <a:effectLst/>
                        <a:latin typeface="Cambria Math"/>
                        <a:ea typeface="+mn-ea"/>
                        <a:cs typeface="+mn-cs"/>
                      </a:rPr>
                      <m:t>𝐻</m:t>
                    </m:r>
                  </m:oMath>
                </m:oMathPara>
              </a14:m>
              <a:endParaRPr lang="es-MX" sz="1100" b="0">
                <a:solidFill>
                  <a:schemeClr val="tx1"/>
                </a:solidFill>
                <a:effectLst/>
                <a:ea typeface="+mn-ea"/>
                <a:cs typeface="+mn-cs"/>
              </a:endParaRPr>
            </a:p>
          </xdr:txBody>
        </xdr:sp>
      </mc:Choice>
      <mc:Fallback xmlns="">
        <xdr:sp macro="" textlink="">
          <xdr:nvSpPr>
            <xdr:cNvPr id="19" name="18 CuadroTexto"/>
            <xdr:cNvSpPr txBox="1"/>
          </xdr:nvSpPr>
          <xdr:spPr>
            <a:xfrm>
              <a:off x="1499152" y="18577892"/>
              <a:ext cx="1542223" cy="283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b="0" i="0">
                  <a:solidFill>
                    <a:schemeClr val="tx1"/>
                  </a:solidFill>
                  <a:effectLst/>
                  <a:latin typeface="Cambria Math"/>
                  <a:ea typeface="+mn-ea"/>
                  <a:cs typeface="+mn-cs"/>
                </a:rPr>
                <a:t>ℎ_(𝑃_𝐴𝐸 )</a:t>
              </a:r>
              <a:r>
                <a:rPr lang="es-MX" sz="1100" i="0">
                  <a:solidFill>
                    <a:schemeClr val="tx1"/>
                  </a:solidFill>
                  <a:effectLst/>
                  <a:latin typeface="+mn-lt"/>
                  <a:ea typeface="+mn-ea"/>
                  <a:cs typeface="+mn-cs"/>
                </a:rPr>
                <a:t>=</a:t>
              </a:r>
              <a:r>
                <a:rPr lang="es-MX" sz="1100" b="0" i="0">
                  <a:solidFill>
                    <a:schemeClr val="tx1"/>
                  </a:solidFill>
                  <a:effectLst/>
                  <a:latin typeface="Cambria Math"/>
                  <a:ea typeface="+mn-ea"/>
                  <a:cs typeface="+mn-cs"/>
                </a:rPr>
                <a:t>0.6 𝐻</a:t>
              </a:r>
              <a:endParaRPr lang="es-MX" sz="1100" b="0">
                <a:solidFill>
                  <a:schemeClr val="tx1"/>
                </a:solidFill>
                <a:effectLst/>
                <a:ea typeface="+mn-ea"/>
                <a:cs typeface="+mn-cs"/>
              </a:endParaRPr>
            </a:p>
          </xdr:txBody>
        </xdr:sp>
      </mc:Fallback>
    </mc:AlternateContent>
    <xdr:clientData/>
  </xdr:oneCellAnchor>
  <xdr:oneCellAnchor>
    <xdr:from>
      <xdr:col>2</xdr:col>
      <xdr:colOff>345797</xdr:colOff>
      <xdr:row>129</xdr:row>
      <xdr:rowOff>47210</xdr:rowOff>
    </xdr:from>
    <xdr:ext cx="1094962" cy="276358"/>
    <mc:AlternateContent xmlns:mc="http://schemas.openxmlformats.org/markup-compatibility/2006" xmlns:a14="http://schemas.microsoft.com/office/drawing/2010/main">
      <mc:Choice Requires="a14">
        <xdr:sp macro="" textlink="">
          <xdr:nvSpPr>
            <xdr:cNvPr id="37" name="36 CuadroTexto"/>
            <xdr:cNvSpPr txBox="1"/>
          </xdr:nvSpPr>
          <xdr:spPr>
            <a:xfrm>
              <a:off x="1869797" y="27745910"/>
              <a:ext cx="1094962" cy="276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𝑉</m:t>
                        </m:r>
                      </m:e>
                      <m:sub>
                        <m:r>
                          <a:rPr lang="es-MX" sz="1100" i="1">
                            <a:solidFill>
                              <a:schemeClr val="tx1"/>
                            </a:solidFill>
                            <a:effectLst/>
                            <a:latin typeface="Cambria Math"/>
                            <a:ea typeface="+mn-ea"/>
                            <a:cs typeface="+mn-cs"/>
                          </a:rPr>
                          <m:t>1</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𝛾</m:t>
                        </m:r>
                      </m:e>
                      <m:sub>
                        <m:r>
                          <a:rPr lang="es-MX" sz="1100" i="1">
                            <a:solidFill>
                              <a:schemeClr val="tx1"/>
                            </a:solidFill>
                            <a:effectLst/>
                            <a:latin typeface="Cambria Math"/>
                            <a:ea typeface="+mn-ea"/>
                            <a:cs typeface="+mn-cs"/>
                          </a:rPr>
                          <m:t>𝑟</m:t>
                        </m:r>
                      </m:sub>
                    </m:sSub>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𝐻</m:t>
                    </m:r>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𝐿</m:t>
                    </m:r>
                  </m:oMath>
                </m:oMathPara>
              </a14:m>
              <a:endParaRPr lang="es-MX" sz="1100"/>
            </a:p>
          </xdr:txBody>
        </xdr:sp>
      </mc:Choice>
      <mc:Fallback xmlns="">
        <xdr:sp macro="" textlink="">
          <xdr:nvSpPr>
            <xdr:cNvPr id="37" name="36 CuadroTexto"/>
            <xdr:cNvSpPr txBox="1"/>
          </xdr:nvSpPr>
          <xdr:spPr>
            <a:xfrm>
              <a:off x="1869797" y="27745910"/>
              <a:ext cx="1094962" cy="276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i="0">
                  <a:solidFill>
                    <a:schemeClr val="tx1"/>
                  </a:solidFill>
                  <a:effectLst/>
                  <a:latin typeface="Cambria Math"/>
                  <a:ea typeface="+mn-ea"/>
                  <a:cs typeface="+mn-cs"/>
                </a:rPr>
                <a:t>𝑉_1=𝛾_𝑟∙𝐻∙𝐿</a:t>
              </a:r>
              <a:endParaRPr lang="es-MX" sz="1100"/>
            </a:p>
          </xdr:txBody>
        </xdr:sp>
      </mc:Fallback>
    </mc:AlternateContent>
    <xdr:clientData/>
  </xdr:oneCellAnchor>
  <xdr:oneCellAnchor>
    <xdr:from>
      <xdr:col>2</xdr:col>
      <xdr:colOff>33545</xdr:colOff>
      <xdr:row>134</xdr:row>
      <xdr:rowOff>57978</xdr:rowOff>
    </xdr:from>
    <xdr:ext cx="1542223" cy="283219"/>
    <mc:AlternateContent xmlns:mc="http://schemas.openxmlformats.org/markup-compatibility/2006" xmlns:a14="http://schemas.microsoft.com/office/drawing/2010/main">
      <mc:Choice Requires="a14">
        <xdr:sp macro="" textlink="">
          <xdr:nvSpPr>
            <xdr:cNvPr id="40" name="39 CuadroTexto"/>
            <xdr:cNvSpPr txBox="1"/>
          </xdr:nvSpPr>
          <xdr:spPr>
            <a:xfrm>
              <a:off x="1557545" y="28709178"/>
              <a:ext cx="1542223" cy="283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b="0" i="1">
                            <a:solidFill>
                              <a:schemeClr val="tx1"/>
                            </a:solidFill>
                            <a:effectLst/>
                            <a:latin typeface="Cambria Math"/>
                            <a:ea typeface="+mn-ea"/>
                            <a:cs typeface="+mn-cs"/>
                          </a:rPr>
                          <m:t>𝑙</m:t>
                        </m:r>
                      </m:e>
                      <m:sub>
                        <m:sSub>
                          <m:sSubPr>
                            <m:ctrlPr>
                              <a:rPr lang="es-MX" sz="1100" i="1">
                                <a:solidFill>
                                  <a:schemeClr val="tx1"/>
                                </a:solidFill>
                                <a:effectLst/>
                                <a:latin typeface="Cambria Math"/>
                                <a:ea typeface="+mn-ea"/>
                                <a:cs typeface="+mn-cs"/>
                              </a:rPr>
                            </m:ctrlPr>
                          </m:sSubPr>
                          <m:e>
                            <m:r>
                              <a:rPr lang="es-MX" sz="1100" b="0" i="1">
                                <a:solidFill>
                                  <a:schemeClr val="tx1"/>
                                </a:solidFill>
                                <a:effectLst/>
                                <a:latin typeface="Cambria Math"/>
                                <a:ea typeface="+mn-ea"/>
                                <a:cs typeface="+mn-cs"/>
                              </a:rPr>
                              <m:t>𝑉</m:t>
                            </m:r>
                          </m:e>
                          <m:sub>
                            <m:r>
                              <a:rPr lang="es-MX" sz="1100" b="0" i="1">
                                <a:solidFill>
                                  <a:schemeClr val="tx1"/>
                                </a:solidFill>
                                <a:effectLst/>
                                <a:latin typeface="Cambria Math"/>
                                <a:ea typeface="+mn-ea"/>
                                <a:cs typeface="+mn-cs"/>
                              </a:rPr>
                              <m:t>1</m:t>
                            </m:r>
                          </m:sub>
                        </m:sSub>
                      </m:sub>
                    </m:sSub>
                    <m:r>
                      <a:rPr lang="es-MX" sz="1100" i="1">
                        <a:solidFill>
                          <a:schemeClr val="tx1"/>
                        </a:solidFill>
                        <a:effectLst/>
                        <a:latin typeface="Cambria Math"/>
                        <a:ea typeface="+mn-ea"/>
                        <a:cs typeface="+mn-cs"/>
                      </a:rPr>
                      <m:t>=</m:t>
                    </m:r>
                    <m:r>
                      <a:rPr lang="es-MX" sz="1100" b="0" i="1">
                        <a:solidFill>
                          <a:schemeClr val="tx1"/>
                        </a:solidFill>
                        <a:effectLst/>
                        <a:latin typeface="Cambria Math"/>
                        <a:ea typeface="+mn-ea"/>
                        <a:cs typeface="+mn-cs"/>
                      </a:rPr>
                      <m:t>0.5 </m:t>
                    </m:r>
                    <m:r>
                      <a:rPr lang="es-MX" sz="1100" b="0" i="1">
                        <a:solidFill>
                          <a:schemeClr val="tx1"/>
                        </a:solidFill>
                        <a:effectLst/>
                        <a:latin typeface="Cambria Math"/>
                        <a:ea typeface="+mn-ea"/>
                        <a:cs typeface="+mn-cs"/>
                      </a:rPr>
                      <m:t>𝐿</m:t>
                    </m:r>
                  </m:oMath>
                </m:oMathPara>
              </a14:m>
              <a:endParaRPr lang="es-MX" sz="1100" b="0">
                <a:solidFill>
                  <a:schemeClr val="tx1"/>
                </a:solidFill>
                <a:effectLst/>
                <a:ea typeface="+mn-ea"/>
                <a:cs typeface="+mn-cs"/>
              </a:endParaRPr>
            </a:p>
          </xdr:txBody>
        </xdr:sp>
      </mc:Choice>
      <mc:Fallback xmlns="">
        <xdr:sp macro="" textlink="">
          <xdr:nvSpPr>
            <xdr:cNvPr id="40" name="39 CuadroTexto"/>
            <xdr:cNvSpPr txBox="1"/>
          </xdr:nvSpPr>
          <xdr:spPr>
            <a:xfrm>
              <a:off x="1557545" y="28709178"/>
              <a:ext cx="1542223" cy="283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b="0" i="0">
                  <a:solidFill>
                    <a:schemeClr val="tx1"/>
                  </a:solidFill>
                  <a:effectLst/>
                  <a:latin typeface="Cambria Math"/>
                  <a:ea typeface="+mn-ea"/>
                  <a:cs typeface="+mn-cs"/>
                </a:rPr>
                <a:t>𝑙_(𝑉_1 )</a:t>
              </a:r>
              <a:r>
                <a:rPr lang="es-MX" sz="1100" i="0">
                  <a:solidFill>
                    <a:schemeClr val="tx1"/>
                  </a:solidFill>
                  <a:effectLst/>
                  <a:latin typeface="Cambria Math"/>
                  <a:ea typeface="+mn-ea"/>
                  <a:cs typeface="+mn-cs"/>
                </a:rPr>
                <a:t>=</a:t>
              </a:r>
              <a:r>
                <a:rPr lang="es-MX" sz="1100" b="0" i="0">
                  <a:solidFill>
                    <a:schemeClr val="tx1"/>
                  </a:solidFill>
                  <a:effectLst/>
                  <a:latin typeface="Cambria Math"/>
                  <a:ea typeface="+mn-ea"/>
                  <a:cs typeface="+mn-cs"/>
                </a:rPr>
                <a:t>0.5 𝐿</a:t>
              </a:r>
              <a:endParaRPr lang="es-MX" sz="1100" b="0">
                <a:solidFill>
                  <a:schemeClr val="tx1"/>
                </a:solidFill>
                <a:effectLst/>
                <a:ea typeface="+mn-ea"/>
                <a:cs typeface="+mn-cs"/>
              </a:endParaRPr>
            </a:p>
          </xdr:txBody>
        </xdr:sp>
      </mc:Fallback>
    </mc:AlternateContent>
    <xdr:clientData/>
  </xdr:oneCellAnchor>
  <xdr:oneCellAnchor>
    <xdr:from>
      <xdr:col>2</xdr:col>
      <xdr:colOff>221972</xdr:colOff>
      <xdr:row>141</xdr:row>
      <xdr:rowOff>85310</xdr:rowOff>
    </xdr:from>
    <xdr:ext cx="1094962" cy="264560"/>
    <mc:AlternateContent xmlns:mc="http://schemas.openxmlformats.org/markup-compatibility/2006" xmlns:a14="http://schemas.microsoft.com/office/drawing/2010/main">
      <mc:Choice Requires="a14">
        <xdr:sp macro="" textlink="">
          <xdr:nvSpPr>
            <xdr:cNvPr id="41" name="40 CuadroTexto"/>
            <xdr:cNvSpPr txBox="1"/>
          </xdr:nvSpPr>
          <xdr:spPr>
            <a:xfrm>
              <a:off x="1745972" y="30383093"/>
              <a:ext cx="10949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𝑉</m:t>
                        </m:r>
                      </m:e>
                      <m:sub>
                        <m:r>
                          <a:rPr lang="es-MX" sz="1100" b="0" i="1">
                            <a:solidFill>
                              <a:schemeClr val="tx1"/>
                            </a:solidFill>
                            <a:effectLst/>
                            <a:latin typeface="Cambria Math"/>
                            <a:ea typeface="+mn-ea"/>
                            <a:cs typeface="+mn-cs"/>
                          </a:rPr>
                          <m:t>2</m:t>
                        </m:r>
                      </m:sub>
                    </m:sSub>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𝑞</m:t>
                    </m:r>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𝐿</m:t>
                    </m:r>
                  </m:oMath>
                </m:oMathPara>
              </a14:m>
              <a:endParaRPr lang="es-MX" sz="1100"/>
            </a:p>
          </xdr:txBody>
        </xdr:sp>
      </mc:Choice>
      <mc:Fallback xmlns="">
        <xdr:sp macro="" textlink="">
          <xdr:nvSpPr>
            <xdr:cNvPr id="41" name="40 CuadroTexto"/>
            <xdr:cNvSpPr txBox="1"/>
          </xdr:nvSpPr>
          <xdr:spPr>
            <a:xfrm>
              <a:off x="1745972" y="30383093"/>
              <a:ext cx="10949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i="0">
                  <a:solidFill>
                    <a:schemeClr val="tx1"/>
                  </a:solidFill>
                  <a:effectLst/>
                  <a:latin typeface="+mn-lt"/>
                  <a:ea typeface="+mn-ea"/>
                  <a:cs typeface="+mn-cs"/>
                </a:rPr>
                <a:t>𝑉_</a:t>
              </a:r>
              <a:r>
                <a:rPr lang="es-MX" sz="1100" b="0" i="0">
                  <a:solidFill>
                    <a:schemeClr val="tx1"/>
                  </a:solidFill>
                  <a:effectLst/>
                  <a:latin typeface="Cambria Math"/>
                  <a:ea typeface="+mn-ea"/>
                  <a:cs typeface="+mn-cs"/>
                </a:rPr>
                <a:t>2</a:t>
              </a:r>
              <a:r>
                <a:rPr lang="es-MX" sz="1100" i="0">
                  <a:solidFill>
                    <a:schemeClr val="tx1"/>
                  </a:solidFill>
                  <a:effectLst/>
                  <a:latin typeface="+mn-lt"/>
                  <a:ea typeface="+mn-ea"/>
                  <a:cs typeface="+mn-cs"/>
                </a:rPr>
                <a:t>=𝑞∙𝐿</a:t>
              </a:r>
              <a:endParaRPr lang="es-MX" sz="1100"/>
            </a:p>
          </xdr:txBody>
        </xdr:sp>
      </mc:Fallback>
    </mc:AlternateContent>
    <xdr:clientData/>
  </xdr:oneCellAnchor>
  <xdr:oneCellAnchor>
    <xdr:from>
      <xdr:col>1</xdr:col>
      <xdr:colOff>728870</xdr:colOff>
      <xdr:row>146</xdr:row>
      <xdr:rowOff>57978</xdr:rowOff>
    </xdr:from>
    <xdr:ext cx="1542223" cy="283219"/>
    <mc:AlternateContent xmlns:mc="http://schemas.openxmlformats.org/markup-compatibility/2006" xmlns:a14="http://schemas.microsoft.com/office/drawing/2010/main">
      <mc:Choice Requires="a14">
        <xdr:sp macro="" textlink="">
          <xdr:nvSpPr>
            <xdr:cNvPr id="42" name="41 CuadroTexto"/>
            <xdr:cNvSpPr txBox="1"/>
          </xdr:nvSpPr>
          <xdr:spPr>
            <a:xfrm>
              <a:off x="1490870" y="28931152"/>
              <a:ext cx="1542223" cy="283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b="0" i="1">
                            <a:solidFill>
                              <a:schemeClr val="tx1"/>
                            </a:solidFill>
                            <a:effectLst/>
                            <a:latin typeface="Cambria Math"/>
                            <a:ea typeface="+mn-ea"/>
                            <a:cs typeface="+mn-cs"/>
                          </a:rPr>
                          <m:t>𝑙</m:t>
                        </m:r>
                      </m:e>
                      <m:sub>
                        <m:sSub>
                          <m:sSubPr>
                            <m:ctrlPr>
                              <a:rPr lang="es-MX" sz="1100" i="1">
                                <a:solidFill>
                                  <a:schemeClr val="tx1"/>
                                </a:solidFill>
                                <a:effectLst/>
                                <a:latin typeface="Cambria Math"/>
                                <a:ea typeface="+mn-ea"/>
                                <a:cs typeface="+mn-cs"/>
                              </a:rPr>
                            </m:ctrlPr>
                          </m:sSubPr>
                          <m:e>
                            <m:r>
                              <a:rPr lang="es-MX" sz="1100" b="0" i="1">
                                <a:solidFill>
                                  <a:schemeClr val="tx1"/>
                                </a:solidFill>
                                <a:effectLst/>
                                <a:latin typeface="Cambria Math"/>
                                <a:ea typeface="+mn-ea"/>
                                <a:cs typeface="+mn-cs"/>
                              </a:rPr>
                              <m:t>𝑉</m:t>
                            </m:r>
                          </m:e>
                          <m:sub>
                            <m:r>
                              <a:rPr lang="es-MX" sz="1100" b="0" i="1">
                                <a:solidFill>
                                  <a:schemeClr val="tx1"/>
                                </a:solidFill>
                                <a:effectLst/>
                                <a:latin typeface="Cambria Math"/>
                                <a:ea typeface="+mn-ea"/>
                                <a:cs typeface="+mn-cs"/>
                              </a:rPr>
                              <m:t>2</m:t>
                            </m:r>
                          </m:sub>
                        </m:sSub>
                      </m:sub>
                    </m:sSub>
                    <m:r>
                      <a:rPr lang="es-MX" sz="1100" i="1">
                        <a:solidFill>
                          <a:schemeClr val="tx1"/>
                        </a:solidFill>
                        <a:effectLst/>
                        <a:latin typeface="Cambria Math"/>
                        <a:ea typeface="+mn-ea"/>
                        <a:cs typeface="+mn-cs"/>
                      </a:rPr>
                      <m:t>=</m:t>
                    </m:r>
                    <m:r>
                      <a:rPr lang="es-MX" sz="1100" b="0" i="1">
                        <a:solidFill>
                          <a:schemeClr val="tx1"/>
                        </a:solidFill>
                        <a:effectLst/>
                        <a:latin typeface="Cambria Math"/>
                        <a:ea typeface="+mn-ea"/>
                        <a:cs typeface="+mn-cs"/>
                      </a:rPr>
                      <m:t>0.5 </m:t>
                    </m:r>
                    <m:r>
                      <a:rPr lang="es-MX" sz="1100" b="0" i="1">
                        <a:solidFill>
                          <a:schemeClr val="tx1"/>
                        </a:solidFill>
                        <a:effectLst/>
                        <a:latin typeface="Cambria Math"/>
                        <a:ea typeface="+mn-ea"/>
                        <a:cs typeface="+mn-cs"/>
                      </a:rPr>
                      <m:t>𝐿</m:t>
                    </m:r>
                  </m:oMath>
                </m:oMathPara>
              </a14:m>
              <a:endParaRPr lang="es-MX" sz="1100" b="0">
                <a:solidFill>
                  <a:schemeClr val="tx1"/>
                </a:solidFill>
                <a:effectLst/>
                <a:ea typeface="+mn-ea"/>
                <a:cs typeface="+mn-cs"/>
              </a:endParaRPr>
            </a:p>
          </xdr:txBody>
        </xdr:sp>
      </mc:Choice>
      <mc:Fallback xmlns="">
        <xdr:sp macro="" textlink="">
          <xdr:nvSpPr>
            <xdr:cNvPr id="42" name="41 CuadroTexto"/>
            <xdr:cNvSpPr txBox="1"/>
          </xdr:nvSpPr>
          <xdr:spPr>
            <a:xfrm>
              <a:off x="1490870" y="28931152"/>
              <a:ext cx="1542223" cy="283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b="0" i="0">
                  <a:solidFill>
                    <a:schemeClr val="tx1"/>
                  </a:solidFill>
                  <a:effectLst/>
                  <a:latin typeface="Cambria Math"/>
                  <a:ea typeface="+mn-ea"/>
                  <a:cs typeface="+mn-cs"/>
                </a:rPr>
                <a:t>𝑙_(𝑉_2 )</a:t>
              </a:r>
              <a:r>
                <a:rPr lang="es-MX" sz="1100" i="0">
                  <a:solidFill>
                    <a:schemeClr val="tx1"/>
                  </a:solidFill>
                  <a:effectLst/>
                  <a:latin typeface="+mn-lt"/>
                  <a:ea typeface="+mn-ea"/>
                  <a:cs typeface="+mn-cs"/>
                </a:rPr>
                <a:t>=</a:t>
              </a:r>
              <a:r>
                <a:rPr lang="es-MX" sz="1100" b="0" i="0">
                  <a:solidFill>
                    <a:schemeClr val="tx1"/>
                  </a:solidFill>
                  <a:effectLst/>
                  <a:latin typeface="Cambria Math"/>
                  <a:ea typeface="+mn-ea"/>
                  <a:cs typeface="+mn-cs"/>
                </a:rPr>
                <a:t>0.5 𝐿</a:t>
              </a:r>
              <a:endParaRPr lang="es-MX" sz="1100" b="0">
                <a:solidFill>
                  <a:schemeClr val="tx1"/>
                </a:solidFill>
                <a:effectLst/>
                <a:ea typeface="+mn-ea"/>
                <a:cs typeface="+mn-cs"/>
              </a:endParaRPr>
            </a:p>
          </xdr:txBody>
        </xdr:sp>
      </mc:Fallback>
    </mc:AlternateContent>
    <xdr:clientData/>
  </xdr:oneCellAnchor>
  <xdr:oneCellAnchor>
    <xdr:from>
      <xdr:col>2</xdr:col>
      <xdr:colOff>470451</xdr:colOff>
      <xdr:row>153</xdr:row>
      <xdr:rowOff>27333</xdr:rowOff>
    </xdr:from>
    <xdr:ext cx="914400" cy="264560"/>
    <mc:AlternateContent xmlns:mc="http://schemas.openxmlformats.org/markup-compatibility/2006" xmlns:a14="http://schemas.microsoft.com/office/drawing/2010/main">
      <mc:Choice Requires="a14">
        <xdr:sp macro="" textlink="">
          <xdr:nvSpPr>
            <xdr:cNvPr id="39" name="38 CuadroTexto"/>
            <xdr:cNvSpPr txBox="1"/>
          </xdr:nvSpPr>
          <xdr:spPr>
            <a:xfrm>
              <a:off x="1994451" y="3274363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r>
                      <a:rPr lang="es-MX" sz="1100" i="1">
                        <a:solidFill>
                          <a:schemeClr val="tx1"/>
                        </a:solidFill>
                        <a:effectLst/>
                        <a:latin typeface="Cambria Math"/>
                        <a:ea typeface="+mn-ea"/>
                        <a:cs typeface="+mn-cs"/>
                      </a:rPr>
                      <m:t>𝑅</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𝑉</m:t>
                        </m:r>
                      </m:e>
                      <m:sub>
                        <m:r>
                          <a:rPr lang="es-MX" sz="1100" i="1">
                            <a:solidFill>
                              <a:schemeClr val="tx1"/>
                            </a:solidFill>
                            <a:effectLst/>
                            <a:latin typeface="Cambria Math"/>
                            <a:ea typeface="+mn-ea"/>
                            <a:cs typeface="+mn-cs"/>
                          </a:rPr>
                          <m:t>1</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𝑉</m:t>
                        </m:r>
                      </m:e>
                      <m:sub>
                        <m:r>
                          <a:rPr lang="es-MX" sz="1100" b="0" i="1">
                            <a:solidFill>
                              <a:schemeClr val="tx1"/>
                            </a:solidFill>
                            <a:effectLst/>
                            <a:latin typeface="Cambria Math"/>
                            <a:ea typeface="+mn-ea"/>
                            <a:cs typeface="+mn-cs"/>
                          </a:rPr>
                          <m:t>2</m:t>
                        </m:r>
                      </m:sub>
                    </m:sSub>
                  </m:oMath>
                </m:oMathPara>
              </a14:m>
              <a:endParaRPr lang="es-MX" sz="1100"/>
            </a:p>
          </xdr:txBody>
        </xdr:sp>
      </mc:Choice>
      <mc:Fallback xmlns="">
        <xdr:sp macro="" textlink="">
          <xdr:nvSpPr>
            <xdr:cNvPr id="39" name="38 CuadroTexto"/>
            <xdr:cNvSpPr txBox="1"/>
          </xdr:nvSpPr>
          <xdr:spPr>
            <a:xfrm>
              <a:off x="1994451" y="3274363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r>
                <a:rPr lang="es-MX" sz="1100" i="0">
                  <a:solidFill>
                    <a:schemeClr val="tx1"/>
                  </a:solidFill>
                  <a:effectLst/>
                  <a:latin typeface="+mn-lt"/>
                  <a:ea typeface="+mn-ea"/>
                  <a:cs typeface="+mn-cs"/>
                </a:rPr>
                <a:t>𝑅〖=𝑉〗_1+𝑉_</a:t>
              </a:r>
              <a:r>
                <a:rPr lang="es-MX" sz="1100" b="0" i="0">
                  <a:solidFill>
                    <a:schemeClr val="tx1"/>
                  </a:solidFill>
                  <a:effectLst/>
                  <a:latin typeface="Cambria Math"/>
                  <a:ea typeface="+mn-ea"/>
                  <a:cs typeface="+mn-cs"/>
                </a:rPr>
                <a:t>2</a:t>
              </a:r>
              <a:endParaRPr lang="es-MX" sz="1100"/>
            </a:p>
          </xdr:txBody>
        </xdr:sp>
      </mc:Fallback>
    </mc:AlternateContent>
    <xdr:clientData/>
  </xdr:oneCellAnchor>
  <xdr:oneCellAnchor>
    <xdr:from>
      <xdr:col>2</xdr:col>
      <xdr:colOff>320676</xdr:colOff>
      <xdr:row>159</xdr:row>
      <xdr:rowOff>109008</xdr:rowOff>
    </xdr:from>
    <xdr:ext cx="1510242" cy="436914"/>
    <mc:AlternateContent xmlns:mc="http://schemas.openxmlformats.org/markup-compatibility/2006" xmlns:a14="http://schemas.microsoft.com/office/drawing/2010/main">
      <mc:Choice Requires="a14">
        <xdr:sp macro="" textlink="">
          <xdr:nvSpPr>
            <xdr:cNvPr id="5" name="4 CuadroTexto"/>
            <xdr:cNvSpPr txBox="1"/>
          </xdr:nvSpPr>
          <xdr:spPr>
            <a:xfrm>
              <a:off x="1844676" y="33827508"/>
              <a:ext cx="1510242" cy="436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s-MX" sz="1100" i="1">
                        <a:solidFill>
                          <a:schemeClr val="tx1"/>
                        </a:solidFill>
                        <a:effectLst/>
                        <a:latin typeface="Cambria Math"/>
                        <a:ea typeface="+mn-ea"/>
                        <a:cs typeface="+mn-cs"/>
                      </a:rPr>
                      <m:t>𝑒</m:t>
                    </m:r>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r>
                          <a:rPr lang="es-MX" sz="1100" i="1">
                            <a:solidFill>
                              <a:schemeClr val="tx1"/>
                            </a:solidFill>
                            <a:effectLst/>
                            <a:latin typeface="Cambria Math"/>
                            <a:ea typeface="+mn-ea"/>
                            <a:cs typeface="+mn-cs"/>
                          </a:rPr>
                          <m:t>𝐿</m:t>
                        </m:r>
                      </m:num>
                      <m:den>
                        <m:r>
                          <a:rPr lang="es-MX" sz="1100" i="1">
                            <a:solidFill>
                              <a:schemeClr val="tx1"/>
                            </a:solidFill>
                            <a:effectLst/>
                            <a:latin typeface="Cambria Math"/>
                            <a:ea typeface="+mn-ea"/>
                            <a:cs typeface="+mn-cs"/>
                          </a:rPr>
                          <m:t>2</m:t>
                        </m:r>
                      </m:den>
                    </m:f>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𝑀</m:t>
                            </m:r>
                          </m:e>
                          <m:sub>
                            <m:r>
                              <a:rPr lang="es-MX" sz="1100" i="1">
                                <a:solidFill>
                                  <a:schemeClr val="tx1"/>
                                </a:solidFill>
                                <a:effectLst/>
                                <a:latin typeface="Cambria Math"/>
                                <a:ea typeface="+mn-ea"/>
                                <a:cs typeface="+mn-cs"/>
                              </a:rPr>
                              <m:t>𝑅𝐴𝑃</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𝑀</m:t>
                            </m:r>
                          </m:e>
                          <m:sub>
                            <m:r>
                              <a:rPr lang="es-MX" sz="1100" i="1">
                                <a:solidFill>
                                  <a:schemeClr val="tx1"/>
                                </a:solidFill>
                                <a:effectLst/>
                                <a:latin typeface="Cambria Math"/>
                                <a:ea typeface="+mn-ea"/>
                                <a:cs typeface="+mn-cs"/>
                              </a:rPr>
                              <m:t>𝑉</m:t>
                            </m:r>
                          </m:sub>
                        </m:sSub>
                      </m:num>
                      <m:den>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𝑉</m:t>
                            </m:r>
                          </m:e>
                          <m:sub>
                            <m:r>
                              <a:rPr lang="es-MX" sz="1100" i="1">
                                <a:solidFill>
                                  <a:schemeClr val="tx1"/>
                                </a:solidFill>
                                <a:effectLst/>
                                <a:latin typeface="Cambria Math"/>
                                <a:ea typeface="+mn-ea"/>
                                <a:cs typeface="+mn-cs"/>
                              </a:rPr>
                              <m:t>1</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𝑉</m:t>
                            </m:r>
                          </m:e>
                          <m:sub>
                            <m:r>
                              <a:rPr lang="es-MX" sz="1100" i="1">
                                <a:solidFill>
                                  <a:schemeClr val="tx1"/>
                                </a:solidFill>
                                <a:effectLst/>
                                <a:latin typeface="Cambria Math"/>
                                <a:ea typeface="+mn-ea"/>
                                <a:cs typeface="+mn-cs"/>
                              </a:rPr>
                              <m:t>1</m:t>
                            </m:r>
                          </m:sub>
                        </m:sSub>
                        <m:r>
                          <a:rPr lang="es-MX" sz="1100" i="1">
                            <a:solidFill>
                              <a:schemeClr val="tx1"/>
                            </a:solidFill>
                            <a:effectLst/>
                            <a:latin typeface="Cambria Math"/>
                            <a:ea typeface="+mn-ea"/>
                            <a:cs typeface="+mn-cs"/>
                          </a:rPr>
                          <m:t>´</m:t>
                        </m:r>
                      </m:den>
                    </m:f>
                  </m:oMath>
                </m:oMathPara>
              </a14:m>
              <a:endParaRPr lang="es-MX" sz="1100"/>
            </a:p>
          </xdr:txBody>
        </xdr:sp>
      </mc:Choice>
      <mc:Fallback xmlns="">
        <xdr:sp macro="" textlink="">
          <xdr:nvSpPr>
            <xdr:cNvPr id="5" name="4 CuadroTexto"/>
            <xdr:cNvSpPr txBox="1"/>
          </xdr:nvSpPr>
          <xdr:spPr>
            <a:xfrm>
              <a:off x="1844676" y="33827508"/>
              <a:ext cx="1510242" cy="436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i="0">
                  <a:solidFill>
                    <a:schemeClr val="tx1"/>
                  </a:solidFill>
                  <a:effectLst/>
                  <a:latin typeface="+mn-lt"/>
                  <a:ea typeface="+mn-ea"/>
                  <a:cs typeface="+mn-cs"/>
                </a:rPr>
                <a:t>𝑒=𝐿/2−(𝑀_𝑅𝐴𝑃−𝑀_𝑉)/(𝑉_1+𝑉_1´)</a:t>
              </a:r>
              <a:endParaRPr lang="es-MX" sz="1100"/>
            </a:p>
          </xdr:txBody>
        </xdr:sp>
      </mc:Fallback>
    </mc:AlternateContent>
    <xdr:clientData/>
  </xdr:oneCellAnchor>
  <xdr:oneCellAnchor>
    <xdr:from>
      <xdr:col>2</xdr:col>
      <xdr:colOff>162982</xdr:colOff>
      <xdr:row>164</xdr:row>
      <xdr:rowOff>79375</xdr:rowOff>
    </xdr:from>
    <xdr:ext cx="1870075" cy="412805"/>
    <mc:AlternateContent xmlns:mc="http://schemas.openxmlformats.org/markup-compatibility/2006" xmlns:a14="http://schemas.microsoft.com/office/drawing/2010/main">
      <mc:Choice Requires="a14">
        <xdr:sp macro="" textlink="">
          <xdr:nvSpPr>
            <xdr:cNvPr id="6" name="5 CuadroTexto"/>
            <xdr:cNvSpPr txBox="1"/>
          </xdr:nvSpPr>
          <xdr:spPr>
            <a:xfrm>
              <a:off x="1686982" y="34655125"/>
              <a:ext cx="1870075" cy="412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𝑀</m:t>
                        </m:r>
                      </m:e>
                      <m:sub>
                        <m:r>
                          <a:rPr lang="es-MX" sz="1100" i="1">
                            <a:solidFill>
                              <a:schemeClr val="tx1"/>
                            </a:solidFill>
                            <a:effectLst/>
                            <a:latin typeface="Cambria Math"/>
                            <a:ea typeface="+mn-ea"/>
                            <a:cs typeface="+mn-cs"/>
                          </a:rPr>
                          <m:t>𝑅𝐴𝑃</m:t>
                        </m:r>
                      </m:sub>
                    </m:sSub>
                    <m:r>
                      <a:rPr lang="es-MX" sz="1100" i="1">
                        <a:solidFill>
                          <a:schemeClr val="tx1"/>
                        </a:solidFill>
                        <a:effectLst/>
                        <a:latin typeface="Cambria Math"/>
                        <a:ea typeface="+mn-ea"/>
                        <a:cs typeface="+mn-cs"/>
                      </a:rPr>
                      <m:t>=</m:t>
                    </m:r>
                    <m:d>
                      <m:dPr>
                        <m:ctrlPr>
                          <a:rPr lang="es-MX" sz="1100" i="1">
                            <a:solidFill>
                              <a:schemeClr val="tx1"/>
                            </a:solidFill>
                            <a:effectLst/>
                            <a:latin typeface="Cambria Math"/>
                            <a:ea typeface="+mn-ea"/>
                            <a:cs typeface="+mn-cs"/>
                          </a:rPr>
                        </m:ctrlPr>
                      </m:dPr>
                      <m:e>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𝑉</m:t>
                            </m:r>
                          </m:e>
                          <m:sub>
                            <m:r>
                              <a:rPr lang="es-MX" sz="1100" i="1">
                                <a:solidFill>
                                  <a:schemeClr val="tx1"/>
                                </a:solidFill>
                                <a:effectLst/>
                                <a:latin typeface="Cambria Math"/>
                                <a:ea typeface="+mn-ea"/>
                                <a:cs typeface="+mn-cs"/>
                              </a:rPr>
                              <m:t>1</m:t>
                            </m:r>
                          </m:sub>
                        </m:sSub>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r>
                              <a:rPr lang="es-MX" sz="1100" i="1">
                                <a:solidFill>
                                  <a:schemeClr val="tx1"/>
                                </a:solidFill>
                                <a:effectLst/>
                                <a:latin typeface="Cambria Math"/>
                                <a:ea typeface="+mn-ea"/>
                                <a:cs typeface="+mn-cs"/>
                              </a:rPr>
                              <m:t>𝐿</m:t>
                            </m:r>
                          </m:num>
                          <m:den>
                            <m:r>
                              <a:rPr lang="es-MX" sz="1100" i="1">
                                <a:solidFill>
                                  <a:schemeClr val="tx1"/>
                                </a:solidFill>
                                <a:effectLst/>
                                <a:latin typeface="Cambria Math"/>
                                <a:ea typeface="+mn-ea"/>
                                <a:cs typeface="+mn-cs"/>
                              </a:rPr>
                              <m:t>2</m:t>
                            </m:r>
                          </m:den>
                        </m:f>
                      </m:e>
                    </m:d>
                    <m:r>
                      <a:rPr lang="es-MX" sz="1100" i="1">
                        <a:solidFill>
                          <a:schemeClr val="tx1"/>
                        </a:solidFill>
                        <a:effectLst/>
                        <a:latin typeface="Cambria Math"/>
                        <a:ea typeface="+mn-ea"/>
                        <a:cs typeface="+mn-cs"/>
                      </a:rPr>
                      <m:t>+</m:t>
                    </m:r>
                    <m:d>
                      <m:dPr>
                        <m:ctrlPr>
                          <a:rPr lang="es-MX" sz="1100" i="1">
                            <a:solidFill>
                              <a:schemeClr val="tx1"/>
                            </a:solidFill>
                            <a:effectLst/>
                            <a:latin typeface="Cambria Math"/>
                            <a:ea typeface="+mn-ea"/>
                            <a:cs typeface="+mn-cs"/>
                          </a:rPr>
                        </m:ctrlPr>
                      </m:dPr>
                      <m:e>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𝑉</m:t>
                            </m:r>
                          </m:e>
                          <m:sub>
                            <m:r>
                              <a:rPr lang="es-MX" sz="1100" b="0" i="1">
                                <a:solidFill>
                                  <a:schemeClr val="tx1"/>
                                </a:solidFill>
                                <a:effectLst/>
                                <a:latin typeface="Cambria Math"/>
                                <a:ea typeface="+mn-ea"/>
                                <a:cs typeface="+mn-cs"/>
                              </a:rPr>
                              <m:t>2</m:t>
                            </m:r>
                          </m:sub>
                        </m:sSub>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r>
                              <a:rPr lang="es-MX" sz="1100" i="1">
                                <a:solidFill>
                                  <a:schemeClr val="tx1"/>
                                </a:solidFill>
                                <a:effectLst/>
                                <a:latin typeface="Cambria Math"/>
                                <a:ea typeface="+mn-ea"/>
                                <a:cs typeface="+mn-cs"/>
                              </a:rPr>
                              <m:t>𝐿</m:t>
                            </m:r>
                          </m:num>
                          <m:den>
                            <m:r>
                              <a:rPr lang="es-MX" sz="1100" i="1">
                                <a:solidFill>
                                  <a:schemeClr val="tx1"/>
                                </a:solidFill>
                                <a:effectLst/>
                                <a:latin typeface="Cambria Math"/>
                                <a:ea typeface="+mn-ea"/>
                                <a:cs typeface="+mn-cs"/>
                              </a:rPr>
                              <m:t>2</m:t>
                            </m:r>
                          </m:den>
                        </m:f>
                      </m:e>
                    </m:d>
                  </m:oMath>
                </m:oMathPara>
              </a14:m>
              <a:endParaRPr lang="es-MX" sz="1100"/>
            </a:p>
          </xdr:txBody>
        </xdr:sp>
      </mc:Choice>
      <mc:Fallback xmlns="">
        <xdr:sp macro="" textlink="">
          <xdr:nvSpPr>
            <xdr:cNvPr id="6" name="5 CuadroTexto"/>
            <xdr:cNvSpPr txBox="1"/>
          </xdr:nvSpPr>
          <xdr:spPr>
            <a:xfrm>
              <a:off x="1686982" y="34655125"/>
              <a:ext cx="1870075" cy="412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i="0">
                  <a:solidFill>
                    <a:schemeClr val="tx1"/>
                  </a:solidFill>
                  <a:effectLst/>
                  <a:latin typeface="+mn-lt"/>
                  <a:ea typeface="+mn-ea"/>
                  <a:cs typeface="+mn-cs"/>
                </a:rPr>
                <a:t>𝑀_𝑅𝐴𝑃=(𝑉_1∙𝐿/2)+(𝑉_</a:t>
              </a:r>
              <a:r>
                <a:rPr lang="es-MX" sz="1100" b="0" i="0">
                  <a:solidFill>
                    <a:schemeClr val="tx1"/>
                  </a:solidFill>
                  <a:effectLst/>
                  <a:latin typeface="Cambria Math"/>
                  <a:ea typeface="+mn-ea"/>
                  <a:cs typeface="+mn-cs"/>
                </a:rPr>
                <a:t>2</a:t>
              </a:r>
              <a:r>
                <a:rPr lang="es-MX" sz="1100" i="0">
                  <a:solidFill>
                    <a:schemeClr val="tx1"/>
                  </a:solidFill>
                  <a:effectLst/>
                  <a:latin typeface="+mn-lt"/>
                  <a:ea typeface="+mn-ea"/>
                  <a:cs typeface="+mn-cs"/>
                </a:rPr>
                <a:t>∙𝐿/2)</a:t>
              </a:r>
              <a:endParaRPr lang="es-MX" sz="1100"/>
            </a:p>
          </xdr:txBody>
        </xdr:sp>
      </mc:Fallback>
    </mc:AlternateContent>
    <xdr:clientData/>
  </xdr:oneCellAnchor>
  <xdr:oneCellAnchor>
    <xdr:from>
      <xdr:col>2</xdr:col>
      <xdr:colOff>203195</xdr:colOff>
      <xdr:row>172</xdr:row>
      <xdr:rowOff>133350</xdr:rowOff>
    </xdr:from>
    <xdr:ext cx="3976159" cy="295017"/>
    <mc:AlternateContent xmlns:mc="http://schemas.openxmlformats.org/markup-compatibility/2006" xmlns:a14="http://schemas.microsoft.com/office/drawing/2010/main">
      <mc:Choice Requires="a14">
        <xdr:sp macro="" textlink="">
          <xdr:nvSpPr>
            <xdr:cNvPr id="10" name="9 CuadroTexto"/>
            <xdr:cNvSpPr txBox="1"/>
          </xdr:nvSpPr>
          <xdr:spPr>
            <a:xfrm>
              <a:off x="1727195" y="36328350"/>
              <a:ext cx="3976159" cy="295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𝑀</m:t>
                        </m:r>
                      </m:e>
                      <m:sub>
                        <m:r>
                          <a:rPr lang="es-MX" sz="1100" i="1">
                            <a:solidFill>
                              <a:schemeClr val="tx1"/>
                            </a:solidFill>
                            <a:effectLst/>
                            <a:latin typeface="Cambria Math"/>
                            <a:ea typeface="+mn-ea"/>
                            <a:cs typeface="+mn-cs"/>
                          </a:rPr>
                          <m:t>𝑣</m:t>
                        </m:r>
                      </m:sub>
                    </m:sSub>
                    <m:r>
                      <a:rPr lang="es-MX" sz="1100" i="1">
                        <a:solidFill>
                          <a:schemeClr val="tx1"/>
                        </a:solidFill>
                        <a:effectLst/>
                        <a:latin typeface="Cambria Math"/>
                        <a:ea typeface="+mn-ea"/>
                        <a:cs typeface="+mn-cs"/>
                      </a:rPr>
                      <m:t>=</m:t>
                    </m:r>
                    <m:d>
                      <m:dPr>
                        <m:ctrlPr>
                          <a:rPr lang="es-MX" sz="1100" i="1">
                            <a:solidFill>
                              <a:schemeClr val="tx1"/>
                            </a:solidFill>
                            <a:effectLst/>
                            <a:latin typeface="Cambria Math"/>
                            <a:ea typeface="+mn-ea"/>
                            <a:cs typeface="+mn-cs"/>
                          </a:rPr>
                        </m:ctrlPr>
                      </m:dPr>
                      <m:e>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𝐹</m:t>
                            </m:r>
                          </m:e>
                          <m:sub>
                            <m:r>
                              <a:rPr lang="es-MX" sz="1100" i="1">
                                <a:solidFill>
                                  <a:schemeClr val="tx1"/>
                                </a:solidFill>
                                <a:effectLst/>
                                <a:latin typeface="Cambria Math"/>
                                <a:ea typeface="+mn-ea"/>
                                <a:cs typeface="+mn-cs"/>
                              </a:rPr>
                              <m:t>1</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h</m:t>
                            </m:r>
                          </m:e>
                          <m:sub>
                            <m:r>
                              <a:rPr lang="es-MX" sz="1100" i="1">
                                <a:solidFill>
                                  <a:schemeClr val="tx1"/>
                                </a:solidFill>
                                <a:effectLst/>
                                <a:latin typeface="Cambria Math"/>
                                <a:ea typeface="+mn-ea"/>
                                <a:cs typeface="+mn-cs"/>
                              </a:rPr>
                              <m:t>1</m:t>
                            </m:r>
                          </m:sub>
                        </m:sSub>
                      </m:e>
                    </m:d>
                    <m:r>
                      <a:rPr lang="es-MX" sz="1100" i="1">
                        <a:solidFill>
                          <a:schemeClr val="tx1"/>
                        </a:solidFill>
                        <a:effectLst/>
                        <a:latin typeface="Cambria Math"/>
                        <a:ea typeface="+mn-ea"/>
                        <a:cs typeface="+mn-cs"/>
                      </a:rPr>
                      <m:t>+</m:t>
                    </m:r>
                    <m:d>
                      <m:dPr>
                        <m:ctrlPr>
                          <a:rPr lang="es-MX" sz="1100" i="1">
                            <a:solidFill>
                              <a:schemeClr val="tx1"/>
                            </a:solidFill>
                            <a:effectLst/>
                            <a:latin typeface="Cambria Math"/>
                            <a:ea typeface="+mn-ea"/>
                            <a:cs typeface="+mn-cs"/>
                          </a:rPr>
                        </m:ctrlPr>
                      </m:dPr>
                      <m:e>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𝐹</m:t>
                            </m:r>
                          </m:e>
                          <m:sub>
                            <m:r>
                              <a:rPr lang="es-MX" sz="1100" i="1">
                                <a:solidFill>
                                  <a:schemeClr val="tx1"/>
                                </a:solidFill>
                                <a:effectLst/>
                                <a:latin typeface="Cambria Math"/>
                                <a:ea typeface="+mn-ea"/>
                                <a:cs typeface="+mn-cs"/>
                              </a:rPr>
                              <m:t>2</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h</m:t>
                            </m:r>
                          </m:e>
                          <m:sub>
                            <m:r>
                              <a:rPr lang="es-MX" sz="1100" i="1">
                                <a:solidFill>
                                  <a:schemeClr val="tx1"/>
                                </a:solidFill>
                                <a:effectLst/>
                                <a:latin typeface="Cambria Math"/>
                                <a:ea typeface="+mn-ea"/>
                                <a:cs typeface="+mn-cs"/>
                              </a:rPr>
                              <m:t>2</m:t>
                            </m:r>
                          </m:sub>
                        </m:sSub>
                      </m:e>
                    </m:d>
                    <m:r>
                      <a:rPr lang="es-MX" sz="1100" i="1">
                        <a:solidFill>
                          <a:schemeClr val="tx1"/>
                        </a:solidFill>
                        <a:effectLst/>
                        <a:latin typeface="Cambria Math"/>
                        <a:ea typeface="+mn-ea"/>
                        <a:cs typeface="+mn-cs"/>
                      </a:rPr>
                      <m:t>+</m:t>
                    </m:r>
                    <m:d>
                      <m:dPr>
                        <m:ctrlPr>
                          <a:rPr lang="es-MX" sz="1100" i="1">
                            <a:solidFill>
                              <a:schemeClr val="tx1"/>
                            </a:solidFill>
                            <a:effectLst/>
                            <a:latin typeface="Cambria Math"/>
                            <a:ea typeface="+mn-ea"/>
                            <a:cs typeface="+mn-cs"/>
                          </a:rPr>
                        </m:ctrlPr>
                      </m:dPr>
                      <m:e>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𝑃</m:t>
                            </m:r>
                          </m:e>
                          <m:sub>
                            <m:r>
                              <a:rPr lang="es-MX" sz="1100" i="1">
                                <a:solidFill>
                                  <a:schemeClr val="tx1"/>
                                </a:solidFill>
                                <a:effectLst/>
                                <a:latin typeface="Cambria Math"/>
                                <a:ea typeface="+mn-ea"/>
                                <a:cs typeface="+mn-cs"/>
                              </a:rPr>
                              <m:t>𝐼𝑅</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b="0" i="1">
                                <a:solidFill>
                                  <a:schemeClr val="tx1"/>
                                </a:solidFill>
                                <a:effectLst/>
                                <a:latin typeface="Cambria Math"/>
                                <a:ea typeface="+mn-ea"/>
                                <a:cs typeface="+mn-cs"/>
                              </a:rPr>
                              <m:t>h</m:t>
                            </m:r>
                          </m:e>
                          <m:sub>
                            <m:sSub>
                              <m:sSubPr>
                                <m:ctrlPr>
                                  <a:rPr lang="es-MX" sz="1100" i="1">
                                    <a:solidFill>
                                      <a:schemeClr val="tx1"/>
                                    </a:solidFill>
                                    <a:effectLst/>
                                    <a:latin typeface="Cambria Math"/>
                                    <a:ea typeface="+mn-ea"/>
                                    <a:cs typeface="+mn-cs"/>
                                  </a:rPr>
                                </m:ctrlPr>
                              </m:sSubPr>
                              <m:e>
                                <m:r>
                                  <a:rPr lang="es-MX" sz="1100" b="0" i="1">
                                    <a:solidFill>
                                      <a:schemeClr val="tx1"/>
                                    </a:solidFill>
                                    <a:effectLst/>
                                    <a:latin typeface="Cambria Math"/>
                                    <a:ea typeface="+mn-ea"/>
                                    <a:cs typeface="+mn-cs"/>
                                  </a:rPr>
                                  <m:t>𝑃</m:t>
                                </m:r>
                              </m:e>
                              <m:sub>
                                <m:r>
                                  <a:rPr lang="es-MX" sz="1100" b="0" i="1">
                                    <a:solidFill>
                                      <a:schemeClr val="tx1"/>
                                    </a:solidFill>
                                    <a:effectLst/>
                                    <a:latin typeface="Cambria Math"/>
                                    <a:ea typeface="+mn-ea"/>
                                    <a:cs typeface="+mn-cs"/>
                                  </a:rPr>
                                  <m:t>𝐼𝑅</m:t>
                                </m:r>
                              </m:sub>
                            </m:sSub>
                          </m:sub>
                        </m:sSub>
                      </m:e>
                    </m:d>
                    <m:r>
                      <a:rPr lang="es-MX" sz="1100" i="1">
                        <a:solidFill>
                          <a:schemeClr val="tx1"/>
                        </a:solidFill>
                        <a:effectLst/>
                        <a:latin typeface="Cambria Math"/>
                        <a:ea typeface="+mn-ea"/>
                        <a:cs typeface="+mn-cs"/>
                      </a:rPr>
                      <m:t>+</m:t>
                    </m:r>
                    <m:d>
                      <m:dPr>
                        <m:ctrlPr>
                          <a:rPr lang="es-MX" sz="1100" i="1">
                            <a:solidFill>
                              <a:schemeClr val="tx1"/>
                            </a:solidFill>
                            <a:effectLst/>
                            <a:latin typeface="Cambria Math"/>
                            <a:ea typeface="+mn-ea"/>
                            <a:cs typeface="+mn-cs"/>
                          </a:rPr>
                        </m:ctrlPr>
                      </m:dPr>
                      <m:e>
                        <m:r>
                          <a:rPr lang="es-MX" sz="1100" i="1">
                            <a:solidFill>
                              <a:schemeClr val="tx1"/>
                            </a:solidFill>
                            <a:effectLst/>
                            <a:latin typeface="Cambria Math"/>
                            <a:ea typeface="+mn-ea"/>
                            <a:cs typeface="+mn-cs"/>
                          </a:rPr>
                          <m:t>50%</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𝑃</m:t>
                            </m:r>
                          </m:e>
                          <m:sub>
                            <m:r>
                              <a:rPr lang="es-MX" sz="1100" i="1">
                                <a:solidFill>
                                  <a:schemeClr val="tx1"/>
                                </a:solidFill>
                                <a:effectLst/>
                                <a:latin typeface="Cambria Math"/>
                                <a:ea typeface="+mn-ea"/>
                                <a:cs typeface="+mn-cs"/>
                              </a:rPr>
                              <m:t>𝐴𝐸</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b="0" i="1">
                                <a:solidFill>
                                  <a:schemeClr val="tx1"/>
                                </a:solidFill>
                                <a:effectLst/>
                                <a:latin typeface="Cambria Math"/>
                                <a:ea typeface="+mn-ea"/>
                                <a:cs typeface="+mn-cs"/>
                              </a:rPr>
                              <m:t>h</m:t>
                            </m:r>
                          </m:e>
                          <m:sub>
                            <m:sSub>
                              <m:sSubPr>
                                <m:ctrlPr>
                                  <a:rPr lang="es-MX" sz="1100" i="1">
                                    <a:solidFill>
                                      <a:schemeClr val="tx1"/>
                                    </a:solidFill>
                                    <a:effectLst/>
                                    <a:latin typeface="Cambria Math"/>
                                    <a:ea typeface="+mn-ea"/>
                                    <a:cs typeface="+mn-cs"/>
                                  </a:rPr>
                                </m:ctrlPr>
                              </m:sSubPr>
                              <m:e>
                                <m:r>
                                  <a:rPr lang="es-MX" sz="1100" b="0" i="1">
                                    <a:solidFill>
                                      <a:schemeClr val="tx1"/>
                                    </a:solidFill>
                                    <a:effectLst/>
                                    <a:latin typeface="Cambria Math"/>
                                    <a:ea typeface="+mn-ea"/>
                                    <a:cs typeface="+mn-cs"/>
                                  </a:rPr>
                                  <m:t>𝑃</m:t>
                                </m:r>
                              </m:e>
                              <m:sub>
                                <m:r>
                                  <a:rPr lang="es-MX" sz="1100" b="0" i="1">
                                    <a:solidFill>
                                      <a:schemeClr val="tx1"/>
                                    </a:solidFill>
                                    <a:effectLst/>
                                    <a:latin typeface="Cambria Math"/>
                                    <a:ea typeface="+mn-ea"/>
                                    <a:cs typeface="+mn-cs"/>
                                  </a:rPr>
                                  <m:t>𝐴𝐸</m:t>
                                </m:r>
                              </m:sub>
                            </m:sSub>
                          </m:sub>
                        </m:sSub>
                      </m:e>
                    </m:d>
                  </m:oMath>
                </m:oMathPara>
              </a14:m>
              <a:endParaRPr lang="es-MX" sz="1100"/>
            </a:p>
          </xdr:txBody>
        </xdr:sp>
      </mc:Choice>
      <mc:Fallback xmlns="">
        <xdr:sp macro="" textlink="">
          <xdr:nvSpPr>
            <xdr:cNvPr id="10" name="9 CuadroTexto"/>
            <xdr:cNvSpPr txBox="1"/>
          </xdr:nvSpPr>
          <xdr:spPr>
            <a:xfrm>
              <a:off x="1727195" y="36328350"/>
              <a:ext cx="3976159" cy="295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i="0">
                  <a:solidFill>
                    <a:schemeClr val="tx1"/>
                  </a:solidFill>
                  <a:effectLst/>
                  <a:latin typeface="+mn-lt"/>
                  <a:ea typeface="+mn-ea"/>
                  <a:cs typeface="+mn-cs"/>
                </a:rPr>
                <a:t>𝑀_𝑣=(𝐹_1∙ℎ_1 )+(𝐹_2∙ℎ_2 )+(𝑃_𝐼𝑅∙</a:t>
              </a:r>
              <a:r>
                <a:rPr lang="es-MX" sz="1100" b="0" i="0">
                  <a:solidFill>
                    <a:schemeClr val="tx1"/>
                  </a:solidFill>
                  <a:effectLst/>
                  <a:latin typeface="Cambria Math"/>
                  <a:ea typeface="+mn-ea"/>
                  <a:cs typeface="+mn-cs"/>
                </a:rPr>
                <a:t>ℎ_(𝑃_𝐼𝑅 )</a:t>
              </a:r>
              <a:r>
                <a:rPr lang="es-MX" sz="1100" b="0" i="0">
                  <a:solidFill>
                    <a:schemeClr val="tx1"/>
                  </a:solidFill>
                  <a:effectLst/>
                  <a:latin typeface="+mn-lt"/>
                  <a:ea typeface="+mn-ea"/>
                  <a:cs typeface="+mn-cs"/>
                </a:rPr>
                <a:t> )</a:t>
              </a:r>
              <a:r>
                <a:rPr lang="es-MX" sz="1100" i="0">
                  <a:solidFill>
                    <a:schemeClr val="tx1"/>
                  </a:solidFill>
                  <a:effectLst/>
                  <a:latin typeface="+mn-lt"/>
                  <a:ea typeface="+mn-ea"/>
                  <a:cs typeface="+mn-cs"/>
                </a:rPr>
                <a:t>+(50%𝑃_𝐴𝐸∙</a:t>
              </a:r>
              <a:r>
                <a:rPr lang="es-MX" sz="1100" b="0" i="0">
                  <a:solidFill>
                    <a:schemeClr val="tx1"/>
                  </a:solidFill>
                  <a:effectLst/>
                  <a:latin typeface="Cambria Math"/>
                  <a:ea typeface="+mn-ea"/>
                  <a:cs typeface="+mn-cs"/>
                </a:rPr>
                <a:t>ℎ_(𝑃_𝐴𝐸 )</a:t>
              </a:r>
              <a:r>
                <a:rPr lang="es-MX" sz="1100" b="0" i="0">
                  <a:solidFill>
                    <a:schemeClr val="tx1"/>
                  </a:solidFill>
                  <a:effectLst/>
                  <a:latin typeface="+mn-lt"/>
                  <a:ea typeface="+mn-ea"/>
                  <a:cs typeface="+mn-cs"/>
                </a:rPr>
                <a:t> )</a:t>
              </a:r>
              <a:endParaRPr lang="es-MX" sz="1100"/>
            </a:p>
          </xdr:txBody>
        </xdr:sp>
      </mc:Fallback>
    </mc:AlternateContent>
    <xdr:clientData/>
  </xdr:oneCellAnchor>
  <xdr:oneCellAnchor>
    <xdr:from>
      <xdr:col>2</xdr:col>
      <xdr:colOff>370414</xdr:colOff>
      <xdr:row>178</xdr:row>
      <xdr:rowOff>84666</xdr:rowOff>
    </xdr:from>
    <xdr:ext cx="1510242" cy="436914"/>
    <mc:AlternateContent xmlns:mc="http://schemas.openxmlformats.org/markup-compatibility/2006" xmlns:a14="http://schemas.microsoft.com/office/drawing/2010/main">
      <mc:Choice Requires="a14">
        <xdr:sp macro="" textlink="">
          <xdr:nvSpPr>
            <xdr:cNvPr id="27" name="26 CuadroTexto"/>
            <xdr:cNvSpPr txBox="1"/>
          </xdr:nvSpPr>
          <xdr:spPr>
            <a:xfrm>
              <a:off x="1894414" y="36755916"/>
              <a:ext cx="1510242" cy="436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s-MX" sz="1100" i="1">
                        <a:solidFill>
                          <a:schemeClr val="tx1"/>
                        </a:solidFill>
                        <a:effectLst/>
                        <a:latin typeface="Cambria Math"/>
                        <a:ea typeface="+mn-ea"/>
                        <a:cs typeface="+mn-cs"/>
                      </a:rPr>
                      <m:t>𝑒</m:t>
                    </m:r>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r>
                          <a:rPr lang="es-MX" sz="1100" i="1">
                            <a:solidFill>
                              <a:schemeClr val="tx1"/>
                            </a:solidFill>
                            <a:effectLst/>
                            <a:latin typeface="Cambria Math"/>
                            <a:ea typeface="+mn-ea"/>
                            <a:cs typeface="+mn-cs"/>
                          </a:rPr>
                          <m:t>𝐿</m:t>
                        </m:r>
                      </m:num>
                      <m:den>
                        <m:r>
                          <a:rPr lang="es-MX" sz="1100" i="1">
                            <a:solidFill>
                              <a:schemeClr val="tx1"/>
                            </a:solidFill>
                            <a:effectLst/>
                            <a:latin typeface="Cambria Math"/>
                            <a:ea typeface="+mn-ea"/>
                            <a:cs typeface="+mn-cs"/>
                          </a:rPr>
                          <m:t>2</m:t>
                        </m:r>
                      </m:den>
                    </m:f>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𝑀</m:t>
                            </m:r>
                          </m:e>
                          <m:sub>
                            <m:r>
                              <a:rPr lang="es-MX" sz="1100" i="1">
                                <a:solidFill>
                                  <a:schemeClr val="tx1"/>
                                </a:solidFill>
                                <a:effectLst/>
                                <a:latin typeface="Cambria Math"/>
                                <a:ea typeface="+mn-ea"/>
                                <a:cs typeface="+mn-cs"/>
                              </a:rPr>
                              <m:t>𝑅𝐴𝑃</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𝑀</m:t>
                            </m:r>
                          </m:e>
                          <m:sub>
                            <m:r>
                              <a:rPr lang="es-MX" sz="1100" i="1">
                                <a:solidFill>
                                  <a:schemeClr val="tx1"/>
                                </a:solidFill>
                                <a:effectLst/>
                                <a:latin typeface="Cambria Math"/>
                                <a:ea typeface="+mn-ea"/>
                                <a:cs typeface="+mn-cs"/>
                              </a:rPr>
                              <m:t>𝑉</m:t>
                            </m:r>
                          </m:sub>
                        </m:sSub>
                      </m:num>
                      <m:den>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𝑉</m:t>
                            </m:r>
                          </m:e>
                          <m:sub>
                            <m:r>
                              <a:rPr lang="es-MX" sz="1100" i="1">
                                <a:solidFill>
                                  <a:schemeClr val="tx1"/>
                                </a:solidFill>
                                <a:effectLst/>
                                <a:latin typeface="Cambria Math"/>
                                <a:ea typeface="+mn-ea"/>
                                <a:cs typeface="+mn-cs"/>
                              </a:rPr>
                              <m:t>1</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𝑉</m:t>
                            </m:r>
                          </m:e>
                          <m:sub>
                            <m:r>
                              <a:rPr lang="es-MX" sz="1100" b="0" i="1">
                                <a:solidFill>
                                  <a:schemeClr val="tx1"/>
                                </a:solidFill>
                                <a:effectLst/>
                                <a:latin typeface="Cambria Math"/>
                                <a:ea typeface="+mn-ea"/>
                                <a:cs typeface="+mn-cs"/>
                              </a:rPr>
                              <m:t>2</m:t>
                            </m:r>
                          </m:sub>
                        </m:sSub>
                      </m:den>
                    </m:f>
                  </m:oMath>
                </m:oMathPara>
              </a14:m>
              <a:endParaRPr lang="es-MX" sz="1100"/>
            </a:p>
          </xdr:txBody>
        </xdr:sp>
      </mc:Choice>
      <mc:Fallback xmlns="">
        <xdr:sp macro="" textlink="">
          <xdr:nvSpPr>
            <xdr:cNvPr id="27" name="26 CuadroTexto"/>
            <xdr:cNvSpPr txBox="1"/>
          </xdr:nvSpPr>
          <xdr:spPr>
            <a:xfrm>
              <a:off x="1894414" y="36755916"/>
              <a:ext cx="1510242" cy="436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i="0">
                  <a:solidFill>
                    <a:schemeClr val="tx1"/>
                  </a:solidFill>
                  <a:effectLst/>
                  <a:latin typeface="+mn-lt"/>
                  <a:ea typeface="+mn-ea"/>
                  <a:cs typeface="+mn-cs"/>
                </a:rPr>
                <a:t>𝑒=𝐿/2−(𝑀_𝑅𝐴𝑃−𝑀_𝑉)/(𝑉_1+𝑉_</a:t>
              </a:r>
              <a:r>
                <a:rPr lang="es-MX" sz="1100" b="0" i="0">
                  <a:solidFill>
                    <a:schemeClr val="tx1"/>
                  </a:solidFill>
                  <a:effectLst/>
                  <a:latin typeface="Cambria Math"/>
                  <a:ea typeface="+mn-ea"/>
                  <a:cs typeface="+mn-cs"/>
                </a:rPr>
                <a:t>2</a:t>
              </a:r>
              <a:r>
                <a:rPr lang="es-MX" sz="1100" b="0" i="0">
                  <a:solidFill>
                    <a:schemeClr val="tx1"/>
                  </a:solidFill>
                  <a:effectLst/>
                  <a:latin typeface="+mn-lt"/>
                  <a:ea typeface="+mn-ea"/>
                  <a:cs typeface="+mn-cs"/>
                </a:rPr>
                <a:t> )</a:t>
              </a:r>
              <a:endParaRPr lang="es-MX" sz="1100"/>
            </a:p>
          </xdr:txBody>
        </xdr:sp>
      </mc:Fallback>
    </mc:AlternateContent>
    <xdr:clientData/>
  </xdr:oneCellAnchor>
  <xdr:oneCellAnchor>
    <xdr:from>
      <xdr:col>2</xdr:col>
      <xdr:colOff>539748</xdr:colOff>
      <xdr:row>183</xdr:row>
      <xdr:rowOff>126998</xdr:rowOff>
    </xdr:from>
    <xdr:ext cx="560917" cy="391583"/>
    <mc:AlternateContent xmlns:mc="http://schemas.openxmlformats.org/markup-compatibility/2006" xmlns:a14="http://schemas.microsoft.com/office/drawing/2010/main">
      <mc:Choice Requires="a14">
        <xdr:sp macro="" textlink="">
          <xdr:nvSpPr>
            <xdr:cNvPr id="12" name="11 CuadroTexto"/>
            <xdr:cNvSpPr txBox="1"/>
          </xdr:nvSpPr>
          <xdr:spPr>
            <a:xfrm>
              <a:off x="2063748" y="37750748"/>
              <a:ext cx="560917" cy="39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MX" sz="1100" i="1">
                        <a:solidFill>
                          <a:schemeClr val="tx1"/>
                        </a:solidFill>
                        <a:effectLst/>
                        <a:latin typeface="Cambria Math"/>
                        <a:ea typeface="+mn-ea"/>
                        <a:cs typeface="+mn-cs"/>
                      </a:rPr>
                      <m:t>𝑒</m:t>
                    </m:r>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r>
                          <a:rPr lang="es-MX" sz="1100" i="1">
                            <a:solidFill>
                              <a:schemeClr val="tx1"/>
                            </a:solidFill>
                            <a:effectLst/>
                            <a:latin typeface="Cambria Math"/>
                            <a:ea typeface="+mn-ea"/>
                            <a:cs typeface="+mn-cs"/>
                          </a:rPr>
                          <m:t>𝐿</m:t>
                        </m:r>
                      </m:num>
                      <m:den>
                        <m:r>
                          <a:rPr lang="es-MX" sz="1100" i="1">
                            <a:solidFill>
                              <a:schemeClr val="tx1"/>
                            </a:solidFill>
                            <a:effectLst/>
                            <a:latin typeface="Cambria Math"/>
                            <a:ea typeface="+mn-ea"/>
                            <a:cs typeface="+mn-cs"/>
                          </a:rPr>
                          <m:t>6</m:t>
                        </m:r>
                      </m:den>
                    </m:f>
                  </m:oMath>
                </m:oMathPara>
              </a14:m>
              <a:endParaRPr lang="es-MX" sz="1100">
                <a:solidFill>
                  <a:schemeClr val="tx1"/>
                </a:solidFill>
                <a:effectLst/>
                <a:latin typeface="+mn-lt"/>
                <a:ea typeface="+mn-ea"/>
                <a:cs typeface="+mn-cs"/>
              </a:endParaRPr>
            </a:p>
            <a:p>
              <a:endParaRPr lang="es-MX" sz="1100"/>
            </a:p>
          </xdr:txBody>
        </xdr:sp>
      </mc:Choice>
      <mc:Fallback xmlns="">
        <xdr:sp macro="" textlink="">
          <xdr:nvSpPr>
            <xdr:cNvPr id="12" name="11 CuadroTexto"/>
            <xdr:cNvSpPr txBox="1"/>
          </xdr:nvSpPr>
          <xdr:spPr>
            <a:xfrm>
              <a:off x="2063748" y="37750748"/>
              <a:ext cx="560917" cy="39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1100" i="0">
                  <a:solidFill>
                    <a:schemeClr val="tx1"/>
                  </a:solidFill>
                  <a:effectLst/>
                  <a:latin typeface="+mn-lt"/>
                  <a:ea typeface="+mn-ea"/>
                  <a:cs typeface="+mn-cs"/>
                </a:rPr>
                <a:t>𝑒≤𝐿/6</a:t>
              </a:r>
              <a:endParaRPr lang="es-MX" sz="1100">
                <a:solidFill>
                  <a:schemeClr val="tx1"/>
                </a:solidFill>
                <a:effectLst/>
                <a:latin typeface="+mn-lt"/>
                <a:ea typeface="+mn-ea"/>
                <a:cs typeface="+mn-cs"/>
              </a:endParaRPr>
            </a:p>
            <a:p>
              <a:endParaRPr lang="es-MX" sz="1100"/>
            </a:p>
          </xdr:txBody>
        </xdr:sp>
      </mc:Fallback>
    </mc:AlternateContent>
    <xdr:clientData/>
  </xdr:oneCellAnchor>
  <xdr:oneCellAnchor>
    <xdr:from>
      <xdr:col>2</xdr:col>
      <xdr:colOff>278342</xdr:colOff>
      <xdr:row>186</xdr:row>
      <xdr:rowOff>77258</xdr:rowOff>
    </xdr:from>
    <xdr:ext cx="483657" cy="409279"/>
    <mc:AlternateContent xmlns:mc="http://schemas.openxmlformats.org/markup-compatibility/2006" xmlns:a14="http://schemas.microsoft.com/office/drawing/2010/main">
      <mc:Choice Requires="a14">
        <xdr:sp macro="" textlink="">
          <xdr:nvSpPr>
            <xdr:cNvPr id="17" name="16 CuadroTexto"/>
            <xdr:cNvSpPr txBox="1"/>
          </xdr:nvSpPr>
          <xdr:spPr>
            <a:xfrm>
              <a:off x="1802342" y="38272508"/>
              <a:ext cx="483657" cy="4092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s-MX" sz="1100" i="1">
                            <a:solidFill>
                              <a:schemeClr val="tx1"/>
                            </a:solidFill>
                            <a:effectLst/>
                            <a:latin typeface="Cambria Math"/>
                            <a:ea typeface="+mn-ea"/>
                            <a:cs typeface="+mn-cs"/>
                          </a:rPr>
                        </m:ctrlPr>
                      </m:fPr>
                      <m:num>
                        <m:r>
                          <a:rPr lang="es-MX" sz="1100" i="1">
                            <a:solidFill>
                              <a:schemeClr val="tx1"/>
                            </a:solidFill>
                            <a:effectLst/>
                            <a:latin typeface="Cambria Math"/>
                            <a:ea typeface="+mn-ea"/>
                            <a:cs typeface="+mn-cs"/>
                          </a:rPr>
                          <m:t>𝐿</m:t>
                        </m:r>
                      </m:num>
                      <m:den>
                        <m:r>
                          <a:rPr lang="es-MX" sz="1100" i="1">
                            <a:solidFill>
                              <a:schemeClr val="tx1"/>
                            </a:solidFill>
                            <a:effectLst/>
                            <a:latin typeface="Cambria Math"/>
                            <a:ea typeface="+mn-ea"/>
                            <a:cs typeface="+mn-cs"/>
                          </a:rPr>
                          <m:t>6</m:t>
                        </m:r>
                      </m:den>
                    </m:f>
                    <m:r>
                      <a:rPr lang="es-MX" sz="1100" i="1">
                        <a:solidFill>
                          <a:schemeClr val="tx1"/>
                        </a:solidFill>
                        <a:effectLst/>
                        <a:latin typeface="Cambria Math"/>
                        <a:ea typeface="+mn-ea"/>
                        <a:cs typeface="+mn-cs"/>
                      </a:rPr>
                      <m:t>=</m:t>
                    </m:r>
                  </m:oMath>
                </m:oMathPara>
              </a14:m>
              <a:endParaRPr lang="es-MX" sz="1100"/>
            </a:p>
          </xdr:txBody>
        </xdr:sp>
      </mc:Choice>
      <mc:Fallback xmlns="">
        <xdr:sp macro="" textlink="">
          <xdr:nvSpPr>
            <xdr:cNvPr id="17" name="16 CuadroTexto"/>
            <xdr:cNvSpPr txBox="1"/>
          </xdr:nvSpPr>
          <xdr:spPr>
            <a:xfrm>
              <a:off x="1802342" y="38272508"/>
              <a:ext cx="483657" cy="4092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i="0">
                  <a:solidFill>
                    <a:schemeClr val="tx1"/>
                  </a:solidFill>
                  <a:effectLst/>
                  <a:latin typeface="+mn-lt"/>
                  <a:ea typeface="+mn-ea"/>
                  <a:cs typeface="+mn-cs"/>
                </a:rPr>
                <a:t>𝐿/6=</a:t>
              </a:r>
              <a:endParaRPr lang="es-MX" sz="1100"/>
            </a:p>
          </xdr:txBody>
        </xdr:sp>
      </mc:Fallback>
    </mc:AlternateContent>
    <xdr:clientData/>
  </xdr:oneCellAnchor>
  <xdr:oneCellAnchor>
    <xdr:from>
      <xdr:col>2</xdr:col>
      <xdr:colOff>119591</xdr:colOff>
      <xdr:row>195</xdr:row>
      <xdr:rowOff>140758</xdr:rowOff>
    </xdr:from>
    <xdr:ext cx="1813984" cy="447302"/>
    <mc:AlternateContent xmlns:mc="http://schemas.openxmlformats.org/markup-compatibility/2006" xmlns:a14="http://schemas.microsoft.com/office/drawing/2010/main">
      <mc:Choice Requires="a14">
        <xdr:sp macro="" textlink="">
          <xdr:nvSpPr>
            <xdr:cNvPr id="20" name="19 CuadroTexto"/>
            <xdr:cNvSpPr txBox="1"/>
          </xdr:nvSpPr>
          <xdr:spPr>
            <a:xfrm>
              <a:off x="1643591" y="41164933"/>
              <a:ext cx="1813984" cy="447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𝐹</m:t>
                        </m:r>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𝑆</m:t>
                        </m:r>
                        <m:r>
                          <a:rPr lang="es-MX" sz="1100" i="1">
                            <a:solidFill>
                              <a:schemeClr val="tx1"/>
                            </a:solidFill>
                            <a:effectLst/>
                            <a:latin typeface="Cambria Math"/>
                            <a:ea typeface="+mn-ea"/>
                            <a:cs typeface="+mn-cs"/>
                          </a:rPr>
                          <m:t>.</m:t>
                        </m:r>
                      </m:e>
                      <m:sub>
                        <m:r>
                          <a:rPr lang="es-MX" sz="1100" i="1">
                            <a:solidFill>
                              <a:schemeClr val="tx1"/>
                            </a:solidFill>
                            <a:effectLst/>
                            <a:latin typeface="Cambria Math"/>
                            <a:ea typeface="+mn-ea"/>
                            <a:cs typeface="+mn-cs"/>
                          </a:rPr>
                          <m:t>𝑑𝑒𝑠</m:t>
                        </m:r>
                      </m:sub>
                    </m:sSub>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nary>
                          <m:naryPr>
                            <m:chr m:val="∑"/>
                            <m:limLoc m:val="undOvr"/>
                            <m:subHide m:val="on"/>
                            <m:supHide m:val="on"/>
                            <m:ctrlPr>
                              <a:rPr lang="es-MX" sz="1100" i="1">
                                <a:solidFill>
                                  <a:schemeClr val="tx1"/>
                                </a:solidFill>
                                <a:effectLst/>
                                <a:latin typeface="Cambria Math"/>
                                <a:ea typeface="+mn-ea"/>
                                <a:cs typeface="+mn-cs"/>
                              </a:rPr>
                            </m:ctrlPr>
                          </m:naryPr>
                          <m:sub/>
                          <m:sup/>
                          <m:e>
                            <m:r>
                              <a:rPr lang="es-MX" sz="1100" i="1">
                                <a:solidFill>
                                  <a:schemeClr val="tx1"/>
                                </a:solidFill>
                                <a:effectLst/>
                                <a:latin typeface="Cambria Math"/>
                                <a:ea typeface="+mn-ea"/>
                                <a:cs typeface="+mn-cs"/>
                              </a:rPr>
                              <m:t>𝑃𝑟</m:t>
                            </m:r>
                          </m:e>
                        </m:nary>
                      </m:num>
                      <m:den>
                        <m:nary>
                          <m:naryPr>
                            <m:chr m:val="∑"/>
                            <m:limLoc m:val="undOvr"/>
                            <m:subHide m:val="on"/>
                            <m:supHide m:val="on"/>
                            <m:ctrlPr>
                              <a:rPr lang="es-MX" sz="1100" i="1">
                                <a:solidFill>
                                  <a:schemeClr val="tx1"/>
                                </a:solidFill>
                                <a:effectLst/>
                                <a:latin typeface="Cambria Math"/>
                                <a:ea typeface="+mn-ea"/>
                                <a:cs typeface="+mn-cs"/>
                              </a:rPr>
                            </m:ctrlPr>
                          </m:naryPr>
                          <m:sub/>
                          <m:sup/>
                          <m:e>
                            <m:r>
                              <a:rPr lang="es-MX" sz="1100" i="1">
                                <a:solidFill>
                                  <a:schemeClr val="tx1"/>
                                </a:solidFill>
                                <a:effectLst/>
                                <a:latin typeface="Cambria Math"/>
                                <a:ea typeface="+mn-ea"/>
                                <a:cs typeface="+mn-cs"/>
                              </a:rPr>
                              <m:t>𝑃𝑑</m:t>
                            </m:r>
                          </m:e>
                        </m:nary>
                      </m:den>
                    </m:f>
                    <m:r>
                      <a:rPr lang="es-MX" sz="1100" i="1">
                        <a:solidFill>
                          <a:schemeClr val="tx1"/>
                        </a:solidFill>
                        <a:effectLst/>
                        <a:latin typeface="Cambria Math"/>
                        <a:ea typeface="+mn-ea"/>
                        <a:cs typeface="+mn-cs"/>
                      </a:rPr>
                      <m:t>≥1.5 </m:t>
                    </m:r>
                  </m:oMath>
                </m:oMathPara>
              </a14:m>
              <a:endParaRPr lang="es-MX" sz="1100"/>
            </a:p>
          </xdr:txBody>
        </xdr:sp>
      </mc:Choice>
      <mc:Fallback xmlns="">
        <xdr:sp macro="" textlink="">
          <xdr:nvSpPr>
            <xdr:cNvPr id="20" name="19 CuadroTexto"/>
            <xdr:cNvSpPr txBox="1"/>
          </xdr:nvSpPr>
          <xdr:spPr>
            <a:xfrm>
              <a:off x="1643591" y="41164933"/>
              <a:ext cx="1813984" cy="447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i="0">
                  <a:solidFill>
                    <a:schemeClr val="tx1"/>
                  </a:solidFill>
                  <a:effectLst/>
                  <a:latin typeface="Cambria Math"/>
                  <a:ea typeface="+mn-ea"/>
                  <a:cs typeface="+mn-cs"/>
                </a:rPr>
                <a:t>〖𝐹.𝑆.〗_𝑑𝑒𝑠=(∑1▒𝑃𝑟)/(∑1▒𝑃𝑑)≥1.5 </a:t>
              </a:r>
              <a:endParaRPr lang="es-MX" sz="1100"/>
            </a:p>
          </xdr:txBody>
        </xdr:sp>
      </mc:Fallback>
    </mc:AlternateContent>
    <xdr:clientData/>
  </xdr:oneCellAnchor>
  <xdr:oneCellAnchor>
    <xdr:from>
      <xdr:col>2</xdr:col>
      <xdr:colOff>310090</xdr:colOff>
      <xdr:row>200</xdr:row>
      <xdr:rowOff>56091</xdr:rowOff>
    </xdr:from>
    <xdr:ext cx="1541993" cy="279885"/>
    <mc:AlternateContent xmlns:mc="http://schemas.openxmlformats.org/markup-compatibility/2006" xmlns:a14="http://schemas.microsoft.com/office/drawing/2010/main">
      <mc:Choice Requires="a14">
        <xdr:sp macro="" textlink="">
          <xdr:nvSpPr>
            <xdr:cNvPr id="21" name="20 CuadroTexto"/>
            <xdr:cNvSpPr txBox="1"/>
          </xdr:nvSpPr>
          <xdr:spPr>
            <a:xfrm>
              <a:off x="1834090" y="40960674"/>
              <a:ext cx="1541993" cy="279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s-MX" sz="1100" i="1">
                        <a:solidFill>
                          <a:schemeClr val="tx1"/>
                        </a:solidFill>
                        <a:effectLst/>
                        <a:latin typeface="Cambria Math"/>
                        <a:ea typeface="+mn-ea"/>
                        <a:cs typeface="+mn-cs"/>
                      </a:rPr>
                      <m:t>𝑃𝑟</m:t>
                    </m:r>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𝑉</m:t>
                        </m:r>
                      </m:e>
                      <m:sub>
                        <m:r>
                          <a:rPr lang="es-MX" sz="1100" i="1">
                            <a:solidFill>
                              <a:schemeClr val="tx1"/>
                            </a:solidFill>
                            <a:effectLst/>
                            <a:latin typeface="Cambria Math"/>
                            <a:ea typeface="+mn-ea"/>
                            <a:cs typeface="+mn-cs"/>
                          </a:rPr>
                          <m:t>1</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𝑉</m:t>
                        </m:r>
                      </m:e>
                      <m:sub>
                        <m:r>
                          <a:rPr lang="es-MX" sz="1100" b="0" i="1">
                            <a:solidFill>
                              <a:schemeClr val="tx1"/>
                            </a:solidFill>
                            <a:effectLst/>
                            <a:latin typeface="Cambria Math"/>
                            <a:ea typeface="+mn-ea"/>
                            <a:cs typeface="+mn-cs"/>
                          </a:rPr>
                          <m:t>2</m:t>
                        </m:r>
                      </m:sub>
                    </m:sSub>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𝜇</m:t>
                    </m:r>
                  </m:oMath>
                </m:oMathPara>
              </a14:m>
              <a:endParaRPr lang="es-MX" sz="1100"/>
            </a:p>
          </xdr:txBody>
        </xdr:sp>
      </mc:Choice>
      <mc:Fallback xmlns="">
        <xdr:sp macro="" textlink="">
          <xdr:nvSpPr>
            <xdr:cNvPr id="21" name="20 CuadroTexto"/>
            <xdr:cNvSpPr txBox="1"/>
          </xdr:nvSpPr>
          <xdr:spPr>
            <a:xfrm>
              <a:off x="1834090" y="40960674"/>
              <a:ext cx="1541993" cy="279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i="0">
                  <a:solidFill>
                    <a:schemeClr val="tx1"/>
                  </a:solidFill>
                  <a:effectLst/>
                  <a:latin typeface="+mn-lt"/>
                  <a:ea typeface="+mn-ea"/>
                  <a:cs typeface="+mn-cs"/>
                </a:rPr>
                <a:t>𝑃𝑟=〖(𝑉〗_1+𝑉_</a:t>
              </a:r>
              <a:r>
                <a:rPr lang="es-MX" sz="1100" b="0" i="0">
                  <a:solidFill>
                    <a:schemeClr val="tx1"/>
                  </a:solidFill>
                  <a:effectLst/>
                  <a:latin typeface="Cambria Math"/>
                  <a:ea typeface="+mn-ea"/>
                  <a:cs typeface="+mn-cs"/>
                </a:rPr>
                <a:t>2</a:t>
              </a:r>
              <a:r>
                <a:rPr lang="es-MX" sz="1100" i="0">
                  <a:solidFill>
                    <a:schemeClr val="tx1"/>
                  </a:solidFill>
                  <a:effectLst/>
                  <a:latin typeface="+mn-lt"/>
                  <a:ea typeface="+mn-ea"/>
                  <a:cs typeface="+mn-cs"/>
                </a:rPr>
                <a:t>)𝜇</a:t>
              </a:r>
              <a:endParaRPr lang="es-MX" sz="1100"/>
            </a:p>
          </xdr:txBody>
        </xdr:sp>
      </mc:Fallback>
    </mc:AlternateContent>
    <xdr:clientData/>
  </xdr:oneCellAnchor>
  <xdr:oneCellAnchor>
    <xdr:from>
      <xdr:col>2</xdr:col>
      <xdr:colOff>179911</xdr:colOff>
      <xdr:row>213</xdr:row>
      <xdr:rowOff>0</xdr:rowOff>
    </xdr:from>
    <xdr:ext cx="1541993" cy="279885"/>
    <mc:AlternateContent xmlns:mc="http://schemas.openxmlformats.org/markup-compatibility/2006" xmlns:a14="http://schemas.microsoft.com/office/drawing/2010/main">
      <mc:Choice Requires="a14">
        <xdr:sp macro="" textlink="">
          <xdr:nvSpPr>
            <xdr:cNvPr id="34" name="33 CuadroTexto"/>
            <xdr:cNvSpPr txBox="1"/>
          </xdr:nvSpPr>
          <xdr:spPr>
            <a:xfrm>
              <a:off x="1703911" y="43518667"/>
              <a:ext cx="1541993" cy="279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s-MX" sz="1100" i="1">
                        <a:solidFill>
                          <a:schemeClr val="tx1"/>
                        </a:solidFill>
                        <a:effectLst/>
                        <a:latin typeface="Cambria Math"/>
                        <a:ea typeface="+mn-ea"/>
                        <a:cs typeface="+mn-cs"/>
                      </a:rPr>
                      <m:t>𝑃𝑟</m:t>
                    </m:r>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𝑉</m:t>
                        </m:r>
                      </m:e>
                      <m:sub>
                        <m:r>
                          <a:rPr lang="es-MX" sz="1100" i="1">
                            <a:solidFill>
                              <a:schemeClr val="tx1"/>
                            </a:solidFill>
                            <a:effectLst/>
                            <a:latin typeface="Cambria Math"/>
                            <a:ea typeface="+mn-ea"/>
                            <a:cs typeface="+mn-cs"/>
                          </a:rPr>
                          <m:t>1</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𝑉</m:t>
                        </m:r>
                      </m:e>
                      <m:sub>
                        <m:r>
                          <a:rPr lang="es-MX" sz="1100" b="0" i="1">
                            <a:solidFill>
                              <a:schemeClr val="tx1"/>
                            </a:solidFill>
                            <a:effectLst/>
                            <a:latin typeface="Cambria Math"/>
                            <a:ea typeface="+mn-ea"/>
                            <a:cs typeface="+mn-cs"/>
                          </a:rPr>
                          <m:t>2</m:t>
                        </m:r>
                      </m:sub>
                    </m:sSub>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𝜇</m:t>
                    </m:r>
                  </m:oMath>
                </m:oMathPara>
              </a14:m>
              <a:endParaRPr lang="es-MX" sz="1100"/>
            </a:p>
          </xdr:txBody>
        </xdr:sp>
      </mc:Choice>
      <mc:Fallback xmlns="">
        <xdr:sp macro="" textlink="">
          <xdr:nvSpPr>
            <xdr:cNvPr id="34" name="33 CuadroTexto"/>
            <xdr:cNvSpPr txBox="1"/>
          </xdr:nvSpPr>
          <xdr:spPr>
            <a:xfrm>
              <a:off x="1703911" y="43518667"/>
              <a:ext cx="1541993" cy="279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i="0">
                  <a:solidFill>
                    <a:schemeClr val="tx1"/>
                  </a:solidFill>
                  <a:effectLst/>
                  <a:latin typeface="+mn-lt"/>
                  <a:ea typeface="+mn-ea"/>
                  <a:cs typeface="+mn-cs"/>
                </a:rPr>
                <a:t>𝑃𝑟=〖(𝑉〗_1+𝑉_</a:t>
              </a:r>
              <a:r>
                <a:rPr lang="es-MX" sz="1100" b="0" i="0">
                  <a:solidFill>
                    <a:schemeClr val="tx1"/>
                  </a:solidFill>
                  <a:effectLst/>
                  <a:latin typeface="Cambria Math"/>
                  <a:ea typeface="+mn-ea"/>
                  <a:cs typeface="+mn-cs"/>
                </a:rPr>
                <a:t>2</a:t>
              </a:r>
              <a:r>
                <a:rPr lang="es-MX" sz="1100" i="0">
                  <a:solidFill>
                    <a:schemeClr val="tx1"/>
                  </a:solidFill>
                  <a:effectLst/>
                  <a:latin typeface="+mn-lt"/>
                  <a:ea typeface="+mn-ea"/>
                  <a:cs typeface="+mn-cs"/>
                </a:rPr>
                <a:t>)𝜇</a:t>
              </a:r>
              <a:endParaRPr lang="es-MX" sz="1100"/>
            </a:p>
          </xdr:txBody>
        </xdr:sp>
      </mc:Fallback>
    </mc:AlternateContent>
    <xdr:clientData/>
  </xdr:oneCellAnchor>
  <xdr:oneCellAnchor>
    <xdr:from>
      <xdr:col>2</xdr:col>
      <xdr:colOff>304799</xdr:colOff>
      <xdr:row>217</xdr:row>
      <xdr:rowOff>161925</xdr:rowOff>
    </xdr:from>
    <xdr:ext cx="914400" cy="264560"/>
    <mc:AlternateContent xmlns:mc="http://schemas.openxmlformats.org/markup-compatibility/2006" xmlns:a14="http://schemas.microsoft.com/office/drawing/2010/main">
      <mc:Choice Requires="a14">
        <xdr:sp macro="" textlink="">
          <xdr:nvSpPr>
            <xdr:cNvPr id="24" name="23 CuadroTexto"/>
            <xdr:cNvSpPr txBox="1"/>
          </xdr:nvSpPr>
          <xdr:spPr>
            <a:xfrm>
              <a:off x="1828799" y="4444259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r>
                      <a:rPr lang="es-MX" sz="1100" i="1">
                        <a:solidFill>
                          <a:schemeClr val="tx1"/>
                        </a:solidFill>
                        <a:effectLst/>
                        <a:latin typeface="Cambria Math"/>
                        <a:ea typeface="+mn-ea"/>
                        <a:cs typeface="+mn-cs"/>
                      </a:rPr>
                      <m:t>𝑃𝑑</m:t>
                    </m:r>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𝐹</m:t>
                        </m:r>
                      </m:e>
                      <m:sub>
                        <m:r>
                          <a:rPr lang="es-MX" sz="1100" i="1">
                            <a:solidFill>
                              <a:schemeClr val="tx1"/>
                            </a:solidFill>
                            <a:effectLst/>
                            <a:latin typeface="Cambria Math"/>
                            <a:ea typeface="+mn-ea"/>
                            <a:cs typeface="+mn-cs"/>
                          </a:rPr>
                          <m:t>𝐻</m:t>
                        </m:r>
                      </m:sub>
                    </m:sSub>
                  </m:oMath>
                </m:oMathPara>
              </a14:m>
              <a:endParaRPr lang="es-MX" sz="1100"/>
            </a:p>
          </xdr:txBody>
        </xdr:sp>
      </mc:Choice>
      <mc:Fallback xmlns="">
        <xdr:sp macro="" textlink="">
          <xdr:nvSpPr>
            <xdr:cNvPr id="24" name="23 CuadroTexto"/>
            <xdr:cNvSpPr txBox="1"/>
          </xdr:nvSpPr>
          <xdr:spPr>
            <a:xfrm>
              <a:off x="1828799" y="4444259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r>
                <a:rPr lang="es-MX" sz="1100" i="0">
                  <a:solidFill>
                    <a:schemeClr val="tx1"/>
                  </a:solidFill>
                  <a:effectLst/>
                  <a:latin typeface="+mn-lt"/>
                  <a:ea typeface="+mn-ea"/>
                  <a:cs typeface="+mn-cs"/>
                </a:rPr>
                <a:t>𝑃𝑑=𝐹_𝐻</a:t>
              </a:r>
              <a:endParaRPr lang="es-MX" sz="1100"/>
            </a:p>
          </xdr:txBody>
        </xdr:sp>
      </mc:Fallback>
    </mc:AlternateContent>
    <xdr:clientData/>
  </xdr:oneCellAnchor>
  <xdr:oneCellAnchor>
    <xdr:from>
      <xdr:col>2</xdr:col>
      <xdr:colOff>285751</xdr:colOff>
      <xdr:row>168</xdr:row>
      <xdr:rowOff>71437</xdr:rowOff>
    </xdr:from>
    <xdr:ext cx="1095374" cy="412805"/>
    <mc:AlternateContent xmlns:mc="http://schemas.openxmlformats.org/markup-compatibility/2006" xmlns:a14="http://schemas.microsoft.com/office/drawing/2010/main">
      <mc:Choice Requires="a14">
        <xdr:sp macro="" textlink="">
          <xdr:nvSpPr>
            <xdr:cNvPr id="25" name="24 CuadroTexto"/>
            <xdr:cNvSpPr txBox="1"/>
          </xdr:nvSpPr>
          <xdr:spPr>
            <a:xfrm>
              <a:off x="1809751" y="35466337"/>
              <a:ext cx="1095374" cy="412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𝑀</m:t>
                        </m:r>
                      </m:e>
                      <m:sub>
                        <m:r>
                          <a:rPr lang="es-MX" sz="1100" i="1">
                            <a:solidFill>
                              <a:schemeClr val="tx1"/>
                            </a:solidFill>
                            <a:effectLst/>
                            <a:latin typeface="Cambria Math"/>
                            <a:ea typeface="+mn-ea"/>
                            <a:cs typeface="+mn-cs"/>
                          </a:rPr>
                          <m:t>𝑅</m:t>
                        </m:r>
                      </m:sub>
                    </m:sSub>
                    <m:r>
                      <a:rPr lang="es-MX" sz="1100" i="1">
                        <a:solidFill>
                          <a:schemeClr val="tx1"/>
                        </a:solidFill>
                        <a:effectLst/>
                        <a:latin typeface="Cambria Math"/>
                        <a:ea typeface="+mn-ea"/>
                        <a:cs typeface="+mn-cs"/>
                      </a:rPr>
                      <m:t>=</m:t>
                    </m:r>
                    <m:d>
                      <m:dPr>
                        <m:ctrlPr>
                          <a:rPr lang="es-MX" sz="1100" i="1">
                            <a:solidFill>
                              <a:schemeClr val="tx1"/>
                            </a:solidFill>
                            <a:effectLst/>
                            <a:latin typeface="Cambria Math"/>
                            <a:ea typeface="+mn-ea"/>
                            <a:cs typeface="+mn-cs"/>
                          </a:rPr>
                        </m:ctrlPr>
                      </m:dPr>
                      <m:e>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𝑉</m:t>
                            </m:r>
                          </m:e>
                          <m:sub>
                            <m:r>
                              <a:rPr lang="es-MX" sz="1100" i="1">
                                <a:solidFill>
                                  <a:schemeClr val="tx1"/>
                                </a:solidFill>
                                <a:effectLst/>
                                <a:latin typeface="Cambria Math"/>
                                <a:ea typeface="+mn-ea"/>
                                <a:cs typeface="+mn-cs"/>
                              </a:rPr>
                              <m:t>1</m:t>
                            </m:r>
                          </m:sub>
                        </m:sSub>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r>
                              <a:rPr lang="es-MX" sz="1100" i="1">
                                <a:solidFill>
                                  <a:schemeClr val="tx1"/>
                                </a:solidFill>
                                <a:effectLst/>
                                <a:latin typeface="Cambria Math"/>
                                <a:ea typeface="+mn-ea"/>
                                <a:cs typeface="+mn-cs"/>
                              </a:rPr>
                              <m:t>𝐿</m:t>
                            </m:r>
                          </m:num>
                          <m:den>
                            <m:r>
                              <a:rPr lang="es-MX" sz="1100" i="1">
                                <a:solidFill>
                                  <a:schemeClr val="tx1"/>
                                </a:solidFill>
                                <a:effectLst/>
                                <a:latin typeface="Cambria Math"/>
                                <a:ea typeface="+mn-ea"/>
                                <a:cs typeface="+mn-cs"/>
                              </a:rPr>
                              <m:t>2</m:t>
                            </m:r>
                          </m:den>
                        </m:f>
                      </m:e>
                    </m:d>
                  </m:oMath>
                </m:oMathPara>
              </a14:m>
              <a:endParaRPr lang="es-MX" sz="1100"/>
            </a:p>
          </xdr:txBody>
        </xdr:sp>
      </mc:Choice>
      <mc:Fallback xmlns="">
        <xdr:sp macro="" textlink="">
          <xdr:nvSpPr>
            <xdr:cNvPr id="25" name="24 CuadroTexto"/>
            <xdr:cNvSpPr txBox="1"/>
          </xdr:nvSpPr>
          <xdr:spPr>
            <a:xfrm>
              <a:off x="1809751" y="35466337"/>
              <a:ext cx="1095374" cy="412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i="0">
                  <a:solidFill>
                    <a:schemeClr val="tx1"/>
                  </a:solidFill>
                  <a:effectLst/>
                  <a:latin typeface="+mn-lt"/>
                  <a:ea typeface="+mn-ea"/>
                  <a:cs typeface="+mn-cs"/>
                </a:rPr>
                <a:t>𝑀_𝑅=(𝑉_1∙𝐿/2)</a:t>
              </a:r>
              <a:endParaRPr lang="es-MX" sz="1100"/>
            </a:p>
          </xdr:txBody>
        </xdr:sp>
      </mc:Fallback>
    </mc:AlternateContent>
    <xdr:clientData/>
  </xdr:oneCellAnchor>
  <xdr:oneCellAnchor>
    <xdr:from>
      <xdr:col>1</xdr:col>
      <xdr:colOff>581025</xdr:colOff>
      <xdr:row>223</xdr:row>
      <xdr:rowOff>47625</xdr:rowOff>
    </xdr:from>
    <xdr:ext cx="2038350" cy="447302"/>
    <mc:AlternateContent xmlns:mc="http://schemas.openxmlformats.org/markup-compatibility/2006" xmlns:a14="http://schemas.microsoft.com/office/drawing/2010/main">
      <mc:Choice Requires="a14">
        <xdr:sp macro="" textlink="">
          <xdr:nvSpPr>
            <xdr:cNvPr id="44" name="43 CuadroTexto"/>
            <xdr:cNvSpPr txBox="1"/>
          </xdr:nvSpPr>
          <xdr:spPr>
            <a:xfrm>
              <a:off x="1343025" y="46482000"/>
              <a:ext cx="2038350" cy="447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𝐹</m:t>
                        </m:r>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𝑆</m:t>
                        </m:r>
                        <m:r>
                          <a:rPr lang="es-MX" sz="1100" i="1">
                            <a:solidFill>
                              <a:schemeClr val="tx1"/>
                            </a:solidFill>
                            <a:effectLst/>
                            <a:latin typeface="Cambria Math"/>
                            <a:ea typeface="+mn-ea"/>
                            <a:cs typeface="+mn-cs"/>
                          </a:rPr>
                          <m:t>.</m:t>
                        </m:r>
                      </m:e>
                      <m:sub>
                        <m:r>
                          <a:rPr lang="es-MX" sz="1100" i="1">
                            <a:solidFill>
                              <a:schemeClr val="tx1"/>
                            </a:solidFill>
                            <a:effectLst/>
                            <a:latin typeface="Cambria Math"/>
                            <a:ea typeface="+mn-ea"/>
                            <a:cs typeface="+mn-cs"/>
                          </a:rPr>
                          <m:t>𝑑𝑒𝑠</m:t>
                        </m:r>
                      </m:sub>
                    </m:sSub>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nary>
                          <m:naryPr>
                            <m:chr m:val="∑"/>
                            <m:limLoc m:val="undOvr"/>
                            <m:subHide m:val="on"/>
                            <m:supHide m:val="on"/>
                            <m:ctrlPr>
                              <a:rPr lang="es-MX" sz="1100" i="1">
                                <a:solidFill>
                                  <a:schemeClr val="tx1"/>
                                </a:solidFill>
                                <a:effectLst/>
                                <a:latin typeface="Cambria Math"/>
                                <a:ea typeface="+mn-ea"/>
                                <a:cs typeface="+mn-cs"/>
                              </a:rPr>
                            </m:ctrlPr>
                          </m:naryPr>
                          <m:sub/>
                          <m:sup/>
                          <m:e>
                            <m:r>
                              <a:rPr lang="es-MX" sz="1100" i="1">
                                <a:solidFill>
                                  <a:schemeClr val="tx1"/>
                                </a:solidFill>
                                <a:effectLst/>
                                <a:latin typeface="Cambria Math"/>
                                <a:ea typeface="+mn-ea"/>
                                <a:cs typeface="+mn-cs"/>
                              </a:rPr>
                              <m:t>𝑃𝑟</m:t>
                            </m:r>
                          </m:e>
                        </m:nary>
                      </m:num>
                      <m:den>
                        <m:nary>
                          <m:naryPr>
                            <m:chr m:val="∑"/>
                            <m:limLoc m:val="undOvr"/>
                            <m:subHide m:val="on"/>
                            <m:supHide m:val="on"/>
                            <m:ctrlPr>
                              <a:rPr lang="es-MX" sz="1100" i="1">
                                <a:solidFill>
                                  <a:schemeClr val="tx1"/>
                                </a:solidFill>
                                <a:effectLst/>
                                <a:latin typeface="Cambria Math"/>
                                <a:ea typeface="+mn-ea"/>
                                <a:cs typeface="+mn-cs"/>
                              </a:rPr>
                            </m:ctrlPr>
                          </m:naryPr>
                          <m:sub/>
                          <m:sup/>
                          <m:e>
                            <m:r>
                              <a:rPr lang="es-MX" sz="1100" i="1">
                                <a:solidFill>
                                  <a:schemeClr val="tx1"/>
                                </a:solidFill>
                                <a:effectLst/>
                                <a:latin typeface="Cambria Math"/>
                                <a:ea typeface="+mn-ea"/>
                                <a:cs typeface="+mn-cs"/>
                              </a:rPr>
                              <m:t>𝑃𝑑</m:t>
                            </m:r>
                          </m:e>
                        </m:nary>
                      </m:den>
                    </m:f>
                    <m:r>
                      <a:rPr lang="es-MX" sz="1100" i="1">
                        <a:solidFill>
                          <a:schemeClr val="tx1"/>
                        </a:solidFill>
                        <a:effectLst/>
                        <a:latin typeface="Cambria Math"/>
                        <a:ea typeface="+mn-ea"/>
                        <a:cs typeface="+mn-cs"/>
                      </a:rPr>
                      <m:t>≥1.5 </m:t>
                    </m:r>
                  </m:oMath>
                </m:oMathPara>
              </a14:m>
              <a:endParaRPr lang="es-MX" sz="1100"/>
            </a:p>
          </xdr:txBody>
        </xdr:sp>
      </mc:Choice>
      <mc:Fallback xmlns="">
        <xdr:sp macro="" textlink="">
          <xdr:nvSpPr>
            <xdr:cNvPr id="44" name="43 CuadroTexto"/>
            <xdr:cNvSpPr txBox="1"/>
          </xdr:nvSpPr>
          <xdr:spPr>
            <a:xfrm>
              <a:off x="1343025" y="46482000"/>
              <a:ext cx="2038350" cy="447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i="0">
                  <a:solidFill>
                    <a:schemeClr val="tx1"/>
                  </a:solidFill>
                  <a:effectLst/>
                  <a:latin typeface="Cambria Math"/>
                  <a:ea typeface="+mn-ea"/>
                  <a:cs typeface="+mn-cs"/>
                </a:rPr>
                <a:t>〖𝐹.𝑆.〗_𝑑𝑒𝑠=(∑1▒𝑃𝑟)/(∑1▒𝑃𝑑)≥1.5 </a:t>
              </a:r>
              <a:endParaRPr lang="es-MX" sz="1100"/>
            </a:p>
          </xdr:txBody>
        </xdr:sp>
      </mc:Fallback>
    </mc:AlternateContent>
    <xdr:clientData/>
  </xdr:oneCellAnchor>
  <xdr:oneCellAnchor>
    <xdr:from>
      <xdr:col>2</xdr:col>
      <xdr:colOff>190500</xdr:colOff>
      <xdr:row>230</xdr:row>
      <xdr:rowOff>166687</xdr:rowOff>
    </xdr:from>
    <xdr:ext cx="1257300" cy="437749"/>
    <mc:AlternateContent xmlns:mc="http://schemas.openxmlformats.org/markup-compatibility/2006" xmlns:a14="http://schemas.microsoft.com/office/drawing/2010/main">
      <mc:Choice Requires="a14">
        <xdr:sp macro="" textlink="">
          <xdr:nvSpPr>
            <xdr:cNvPr id="26" name="25 CuadroTexto"/>
            <xdr:cNvSpPr txBox="1"/>
          </xdr:nvSpPr>
          <xdr:spPr>
            <a:xfrm>
              <a:off x="1714500" y="47505937"/>
              <a:ext cx="1257300" cy="437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𝐹</m:t>
                        </m:r>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𝑆</m:t>
                        </m:r>
                        <m:r>
                          <a:rPr lang="es-MX" sz="1100" i="1">
                            <a:solidFill>
                              <a:schemeClr val="tx1"/>
                            </a:solidFill>
                            <a:effectLst/>
                            <a:latin typeface="Cambria Math"/>
                            <a:ea typeface="+mn-ea"/>
                            <a:cs typeface="+mn-cs"/>
                          </a:rPr>
                          <m:t>.</m:t>
                        </m:r>
                      </m:e>
                      <m:sub>
                        <m:r>
                          <a:rPr lang="es-MX" sz="1100" i="1">
                            <a:solidFill>
                              <a:schemeClr val="tx1"/>
                            </a:solidFill>
                            <a:effectLst/>
                            <a:latin typeface="Cambria Math"/>
                            <a:ea typeface="+mn-ea"/>
                            <a:cs typeface="+mn-cs"/>
                          </a:rPr>
                          <m:t>𝑉</m:t>
                        </m:r>
                      </m:sub>
                    </m:sSub>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𝑀</m:t>
                            </m:r>
                          </m:e>
                          <m:sub>
                            <m:r>
                              <a:rPr lang="es-MX" sz="1100" i="1">
                                <a:solidFill>
                                  <a:schemeClr val="tx1"/>
                                </a:solidFill>
                                <a:effectLst/>
                                <a:latin typeface="Cambria Math"/>
                                <a:ea typeface="+mn-ea"/>
                                <a:cs typeface="+mn-cs"/>
                              </a:rPr>
                              <m:t>𝑅</m:t>
                            </m:r>
                          </m:sub>
                        </m:sSub>
                      </m:num>
                      <m:den>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𝑀</m:t>
                            </m:r>
                          </m:e>
                          <m:sub>
                            <m:r>
                              <a:rPr lang="es-MX" sz="1100" i="1">
                                <a:solidFill>
                                  <a:schemeClr val="tx1"/>
                                </a:solidFill>
                                <a:effectLst/>
                                <a:latin typeface="Cambria Math"/>
                                <a:ea typeface="+mn-ea"/>
                                <a:cs typeface="+mn-cs"/>
                              </a:rPr>
                              <m:t>𝑉</m:t>
                            </m:r>
                          </m:sub>
                        </m:sSub>
                      </m:den>
                    </m:f>
                    <m:r>
                      <a:rPr lang="es-MX" sz="1100" i="0">
                        <a:solidFill>
                          <a:schemeClr val="tx1"/>
                        </a:solidFill>
                        <a:effectLst/>
                        <a:latin typeface="Cambria Math"/>
                        <a:ea typeface="+mn-ea"/>
                        <a:cs typeface="+mn-cs"/>
                      </a:rPr>
                      <m:t>≥</m:t>
                    </m:r>
                    <m:r>
                      <a:rPr lang="es-MX" sz="1100" b="0" i="0">
                        <a:solidFill>
                          <a:schemeClr val="tx1"/>
                        </a:solidFill>
                        <a:effectLst/>
                        <a:latin typeface="Cambria Math"/>
                        <a:ea typeface="+mn-ea"/>
                        <a:cs typeface="+mn-cs"/>
                      </a:rPr>
                      <m:t>2.5</m:t>
                    </m:r>
                  </m:oMath>
                </m:oMathPara>
              </a14:m>
              <a:endParaRPr lang="es-MX" sz="1100" b="0">
                <a:solidFill>
                  <a:schemeClr val="tx1"/>
                </a:solidFill>
                <a:effectLst/>
                <a:ea typeface="+mn-ea"/>
                <a:cs typeface="+mn-cs"/>
              </a:endParaRPr>
            </a:p>
          </xdr:txBody>
        </xdr:sp>
      </mc:Choice>
      <mc:Fallback xmlns="">
        <xdr:sp macro="" textlink="">
          <xdr:nvSpPr>
            <xdr:cNvPr id="26" name="25 CuadroTexto"/>
            <xdr:cNvSpPr txBox="1"/>
          </xdr:nvSpPr>
          <xdr:spPr>
            <a:xfrm>
              <a:off x="1714500" y="47505937"/>
              <a:ext cx="1257300" cy="437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i="0">
                  <a:solidFill>
                    <a:schemeClr val="tx1"/>
                  </a:solidFill>
                  <a:effectLst/>
                  <a:latin typeface="+mn-lt"/>
                  <a:ea typeface="+mn-ea"/>
                  <a:cs typeface="+mn-cs"/>
                </a:rPr>
                <a:t>〖𝐹.𝑆.〗_𝑉=𝑀_𝑅/𝑀_𝑉 ≥</a:t>
              </a:r>
              <a:r>
                <a:rPr lang="es-MX" sz="1100" b="0" i="0">
                  <a:solidFill>
                    <a:schemeClr val="tx1"/>
                  </a:solidFill>
                  <a:effectLst/>
                  <a:latin typeface="Cambria Math"/>
                  <a:ea typeface="+mn-ea"/>
                  <a:cs typeface="+mn-cs"/>
                </a:rPr>
                <a:t>2.5</a:t>
              </a:r>
              <a:endParaRPr lang="es-MX" sz="1100" b="0">
                <a:solidFill>
                  <a:schemeClr val="tx1"/>
                </a:solidFill>
                <a:effectLst/>
                <a:ea typeface="+mn-ea"/>
                <a:cs typeface="+mn-cs"/>
              </a:endParaRPr>
            </a:p>
          </xdr:txBody>
        </xdr:sp>
      </mc:Fallback>
    </mc:AlternateContent>
    <xdr:clientData/>
  </xdr:oneCellAnchor>
  <xdr:twoCellAnchor>
    <xdr:from>
      <xdr:col>12</xdr:col>
      <xdr:colOff>176893</xdr:colOff>
      <xdr:row>237</xdr:row>
      <xdr:rowOff>116861</xdr:rowOff>
    </xdr:from>
    <xdr:to>
      <xdr:col>15</xdr:col>
      <xdr:colOff>89531</xdr:colOff>
      <xdr:row>242</xdr:row>
      <xdr:rowOff>17028</xdr:rowOff>
    </xdr:to>
    <xdr:sp macro="[0]!Regresararevision" textlink="">
      <xdr:nvSpPr>
        <xdr:cNvPr id="45" name="44 CuadroTexto"/>
        <xdr:cNvSpPr txBox="1"/>
      </xdr:nvSpPr>
      <xdr:spPr>
        <a:xfrm>
          <a:off x="9348107" y="49769325"/>
          <a:ext cx="2198638" cy="907096"/>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MX" sz="1800" b="1"/>
            <a:t>REGRESAR A HOJA DE REVISION</a:t>
          </a:r>
        </a:p>
      </xdr:txBody>
    </xdr:sp>
    <xdr:clientData/>
  </xdr:twoCellAnchor>
  <xdr:twoCellAnchor>
    <xdr:from>
      <xdr:col>12</xdr:col>
      <xdr:colOff>94451</xdr:colOff>
      <xdr:row>3</xdr:row>
      <xdr:rowOff>122463</xdr:rowOff>
    </xdr:from>
    <xdr:to>
      <xdr:col>15</xdr:col>
      <xdr:colOff>83245</xdr:colOff>
      <xdr:row>7</xdr:row>
      <xdr:rowOff>81642</xdr:rowOff>
    </xdr:to>
    <xdr:sp macro="[0]!Regresararevision" textlink="">
      <xdr:nvSpPr>
        <xdr:cNvPr id="46" name="45 CuadroTexto"/>
        <xdr:cNvSpPr txBox="1"/>
      </xdr:nvSpPr>
      <xdr:spPr>
        <a:xfrm>
          <a:off x="9265665" y="693963"/>
          <a:ext cx="2274794" cy="721179"/>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MX" sz="1800" b="1"/>
            <a:t>REGRESAR A HOJA DE REVISION</a:t>
          </a:r>
        </a:p>
      </xdr:txBody>
    </xdr:sp>
    <xdr:clientData/>
  </xdr:twoCellAnchor>
  <xdr:twoCellAnchor editAs="oneCell">
    <xdr:from>
      <xdr:col>9</xdr:col>
      <xdr:colOff>95249</xdr:colOff>
      <xdr:row>0</xdr:row>
      <xdr:rowOff>68036</xdr:rowOff>
    </xdr:from>
    <xdr:to>
      <xdr:col>11</xdr:col>
      <xdr:colOff>244928</xdr:colOff>
      <xdr:row>4</xdr:row>
      <xdr:rowOff>40666</xdr:rowOff>
    </xdr:to>
    <xdr:pic>
      <xdr:nvPicPr>
        <xdr:cNvPr id="47" name="46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80463" y="68036"/>
          <a:ext cx="1673679" cy="734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231321</xdr:colOff>
      <xdr:row>14</xdr:row>
      <xdr:rowOff>0</xdr:rowOff>
    </xdr:from>
    <xdr:to>
      <xdr:col>10</xdr:col>
      <xdr:colOff>476250</xdr:colOff>
      <xdr:row>31</xdr:row>
      <xdr:rowOff>163286</xdr:rowOff>
    </xdr:to>
    <xdr:pic>
      <xdr:nvPicPr>
        <xdr:cNvPr id="48" name="47 Imagen"/>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374" r="14621"/>
        <a:stretch/>
      </xdr:blipFill>
      <xdr:spPr bwMode="auto">
        <a:xfrm>
          <a:off x="231321" y="2884714"/>
          <a:ext cx="8041822" cy="340178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394607</xdr:colOff>
      <xdr:row>106</xdr:row>
      <xdr:rowOff>13608</xdr:rowOff>
    </xdr:from>
    <xdr:to>
      <xdr:col>5</xdr:col>
      <xdr:colOff>748393</xdr:colOff>
      <xdr:row>123</xdr:row>
      <xdr:rowOff>181057</xdr:rowOff>
    </xdr:to>
    <xdr:pic>
      <xdr:nvPicPr>
        <xdr:cNvPr id="49" name="48 Imagen"/>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34405" r="46623" b="14445"/>
        <a:stretch/>
      </xdr:blipFill>
      <xdr:spPr bwMode="auto">
        <a:xfrm>
          <a:off x="2680607" y="23200179"/>
          <a:ext cx="2054679" cy="3542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462649</xdr:colOff>
      <xdr:row>157</xdr:row>
      <xdr:rowOff>95251</xdr:rowOff>
    </xdr:from>
    <xdr:to>
      <xdr:col>11</xdr:col>
      <xdr:colOff>598715</xdr:colOff>
      <xdr:row>185</xdr:row>
      <xdr:rowOff>129833</xdr:rowOff>
    </xdr:to>
    <xdr:pic>
      <xdr:nvPicPr>
        <xdr:cNvPr id="50" name="49 Imagen"/>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30299" t="15574" r="52994" b="8787"/>
        <a:stretch/>
      </xdr:blipFill>
      <xdr:spPr bwMode="auto">
        <a:xfrm>
          <a:off x="5823863" y="33500787"/>
          <a:ext cx="3184066" cy="55046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176894</xdr:colOff>
      <xdr:row>0</xdr:row>
      <xdr:rowOff>54429</xdr:rowOff>
    </xdr:from>
    <xdr:to>
      <xdr:col>2</xdr:col>
      <xdr:colOff>481129</xdr:colOff>
      <xdr:row>5</xdr:row>
      <xdr:rowOff>159204</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894" y="54429"/>
          <a:ext cx="106623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161925</xdr:colOff>
      <xdr:row>4</xdr:row>
      <xdr:rowOff>66674</xdr:rowOff>
    </xdr:from>
    <xdr:to>
      <xdr:col>7</xdr:col>
      <xdr:colOff>295275</xdr:colOff>
      <xdr:row>8</xdr:row>
      <xdr:rowOff>171449</xdr:rowOff>
    </xdr:to>
    <xdr:pic>
      <xdr:nvPicPr>
        <xdr:cNvPr id="4" name="3 Imagen" descr="C:\Documents and Settings\Solksjaer\Mis documentos\Copia de uach.gif"/>
        <xdr:cNvPicPr/>
      </xdr:nvPicPr>
      <xdr:blipFill>
        <a:blip xmlns:r="http://schemas.openxmlformats.org/officeDocument/2006/relationships" r:embed="rId2" r:link="rId3"/>
        <a:srcRect/>
        <a:stretch>
          <a:fillRect/>
        </a:stretch>
      </xdr:blipFill>
      <xdr:spPr bwMode="auto">
        <a:xfrm>
          <a:off x="3209925" y="828674"/>
          <a:ext cx="895350" cy="866775"/>
        </a:xfrm>
        <a:prstGeom prst="rect">
          <a:avLst/>
        </a:prstGeom>
        <a:noFill/>
        <a:ln w="9525">
          <a:noFill/>
          <a:miter lim="800000"/>
          <a:headEnd/>
          <a:tailEnd/>
        </a:ln>
      </xdr:spPr>
    </xdr:pic>
    <xdr:clientData/>
  </xdr:twoCellAnchor>
  <xdr:twoCellAnchor editAs="oneCell">
    <xdr:from>
      <xdr:col>6</xdr:col>
      <xdr:colOff>638175</xdr:colOff>
      <xdr:row>47</xdr:row>
      <xdr:rowOff>54340</xdr:rowOff>
    </xdr:from>
    <xdr:to>
      <xdr:col>10</xdr:col>
      <xdr:colOff>180975</xdr:colOff>
      <xdr:row>63</xdr:row>
      <xdr:rowOff>88449</xdr:rowOff>
    </xdr:to>
    <xdr:pic>
      <xdr:nvPicPr>
        <xdr:cNvPr id="6" name="5 Imagen"/>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6394" r="31541"/>
        <a:stretch/>
      </xdr:blipFill>
      <xdr:spPr bwMode="auto">
        <a:xfrm>
          <a:off x="5373461" y="9742626"/>
          <a:ext cx="2822121" cy="3136537"/>
        </a:xfrm>
        <a:prstGeom prst="rect">
          <a:avLst/>
        </a:prstGeom>
        <a:noFill/>
        <a:ln>
          <a:noFill/>
        </a:ln>
        <a:extLst>
          <a:ext uri="{53640926-AAD7-44D8-BBD7-CCE9431645EC}">
            <a14:shadowObscured xmlns:a14="http://schemas.microsoft.com/office/drawing/2010/main"/>
          </a:ext>
        </a:extLst>
      </xdr:spPr>
    </xdr:pic>
    <xdr:clientData/>
  </xdr:twoCellAnchor>
  <xdr:oneCellAnchor>
    <xdr:from>
      <xdr:col>2</xdr:col>
      <xdr:colOff>266700</xdr:colOff>
      <xdr:row>50</xdr:row>
      <xdr:rowOff>138112</xdr:rowOff>
    </xdr:from>
    <xdr:ext cx="914400" cy="264560"/>
    <mc:AlternateContent xmlns:mc="http://schemas.openxmlformats.org/markup-compatibility/2006" xmlns:a14="http://schemas.microsoft.com/office/drawing/2010/main">
      <mc:Choice Requires="a14">
        <xdr:sp macro="" textlink="">
          <xdr:nvSpPr>
            <xdr:cNvPr id="8" name="7 CuadroTexto"/>
            <xdr:cNvSpPr txBox="1"/>
          </xdr:nvSpPr>
          <xdr:spPr>
            <a:xfrm>
              <a:off x="1790700" y="1038701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𝐾</m:t>
                        </m:r>
                      </m:e>
                      <m:sub>
                        <m:r>
                          <a:rPr lang="es-MX" sz="1100" i="1">
                            <a:solidFill>
                              <a:schemeClr val="tx1"/>
                            </a:solidFill>
                            <a:effectLst/>
                            <a:latin typeface="Cambria Math"/>
                            <a:ea typeface="+mn-ea"/>
                            <a:cs typeface="+mn-cs"/>
                          </a:rPr>
                          <m:t>𝑟</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𝐾</m:t>
                        </m:r>
                      </m:e>
                      <m:sub>
                        <m:r>
                          <a:rPr lang="es-MX" sz="1100" i="1">
                            <a:solidFill>
                              <a:schemeClr val="tx1"/>
                            </a:solidFill>
                            <a:effectLst/>
                            <a:latin typeface="Cambria Math"/>
                            <a:ea typeface="+mn-ea"/>
                            <a:cs typeface="+mn-cs"/>
                          </a:rPr>
                          <m:t>𝑎</m:t>
                        </m:r>
                        <m:r>
                          <a:rPr lang="es-MX" sz="1100" b="0" i="1">
                            <a:solidFill>
                              <a:schemeClr val="tx1"/>
                            </a:solidFill>
                            <a:effectLst/>
                            <a:latin typeface="Cambria Math"/>
                            <a:ea typeface="+mn-ea"/>
                            <a:cs typeface="+mn-cs"/>
                          </a:rPr>
                          <m:t>𝑟</m:t>
                        </m:r>
                      </m:sub>
                    </m:sSub>
                  </m:oMath>
                </m:oMathPara>
              </a14:m>
              <a:endParaRPr lang="es-MX" sz="1100"/>
            </a:p>
          </xdr:txBody>
        </xdr:sp>
      </mc:Choice>
      <mc:Fallback xmlns="">
        <xdr:sp macro="" textlink="">
          <xdr:nvSpPr>
            <xdr:cNvPr id="8" name="7 CuadroTexto"/>
            <xdr:cNvSpPr txBox="1"/>
          </xdr:nvSpPr>
          <xdr:spPr>
            <a:xfrm>
              <a:off x="1790700" y="1038701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es-MX" sz="1100" i="0">
                  <a:solidFill>
                    <a:schemeClr val="tx1"/>
                  </a:solidFill>
                  <a:effectLst/>
                  <a:latin typeface="Cambria Math"/>
                  <a:ea typeface="+mn-ea"/>
                  <a:cs typeface="+mn-cs"/>
                </a:rPr>
                <a:t>𝐾_𝑟=𝐾_𝑎</a:t>
              </a:r>
              <a:r>
                <a:rPr lang="es-MX" sz="1100" b="0" i="0">
                  <a:solidFill>
                    <a:schemeClr val="tx1"/>
                  </a:solidFill>
                  <a:effectLst/>
                  <a:latin typeface="Cambria Math"/>
                  <a:ea typeface="+mn-ea"/>
                  <a:cs typeface="+mn-cs"/>
                </a:rPr>
                <a:t>𝑟</a:t>
              </a:r>
              <a:endParaRPr lang="es-MX" sz="1100"/>
            </a:p>
          </xdr:txBody>
        </xdr:sp>
      </mc:Fallback>
    </mc:AlternateContent>
    <xdr:clientData/>
  </xdr:oneCellAnchor>
  <xdr:oneCellAnchor>
    <xdr:from>
      <xdr:col>2</xdr:col>
      <xdr:colOff>304799</xdr:colOff>
      <xdr:row>59</xdr:row>
      <xdr:rowOff>157162</xdr:rowOff>
    </xdr:from>
    <xdr:ext cx="1371601" cy="264560"/>
    <mc:AlternateContent xmlns:mc="http://schemas.openxmlformats.org/markup-compatibility/2006" xmlns:a14="http://schemas.microsoft.com/office/drawing/2010/main">
      <mc:Choice Requires="a14">
        <xdr:sp macro="" textlink="">
          <xdr:nvSpPr>
            <xdr:cNvPr id="9" name="8 CuadroTexto"/>
            <xdr:cNvSpPr txBox="1"/>
          </xdr:nvSpPr>
          <xdr:spPr>
            <a:xfrm>
              <a:off x="1828799" y="11549062"/>
              <a:ext cx="13716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𝜎</m:t>
                        </m:r>
                      </m:e>
                      <m:sub>
                        <m:r>
                          <a:rPr lang="es-MX" sz="1100" i="1">
                            <a:solidFill>
                              <a:schemeClr val="tx1"/>
                            </a:solidFill>
                            <a:effectLst/>
                            <a:latin typeface="Cambria Math"/>
                            <a:ea typeface="+mn-ea"/>
                            <a:cs typeface="+mn-cs"/>
                          </a:rPr>
                          <m:t>𝐻</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𝐾</m:t>
                        </m:r>
                      </m:e>
                      <m:sub>
                        <m:r>
                          <a:rPr lang="es-MX" sz="1100" i="1">
                            <a:solidFill>
                              <a:schemeClr val="tx1"/>
                            </a:solidFill>
                            <a:effectLst/>
                            <a:latin typeface="Cambria Math"/>
                            <a:ea typeface="+mn-ea"/>
                            <a:cs typeface="+mn-cs"/>
                          </a:rPr>
                          <m:t>𝑟</m:t>
                        </m:r>
                      </m:sub>
                    </m:sSub>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𝜎</m:t>
                        </m:r>
                      </m:e>
                      <m:sub>
                        <m:r>
                          <a:rPr lang="es-MX" sz="1100" i="1">
                            <a:solidFill>
                              <a:schemeClr val="tx1"/>
                            </a:solidFill>
                            <a:effectLst/>
                            <a:latin typeface="Cambria Math"/>
                            <a:ea typeface="+mn-ea"/>
                            <a:cs typeface="+mn-cs"/>
                          </a:rPr>
                          <m:t>𝑣</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𝜎</m:t>
                        </m:r>
                      </m:e>
                      <m:sub>
                        <m:r>
                          <a:rPr lang="es-MX" sz="1100" i="1">
                            <a:solidFill>
                              <a:schemeClr val="tx1"/>
                            </a:solidFill>
                            <a:effectLst/>
                            <a:latin typeface="Cambria Math"/>
                            <a:ea typeface="+mn-ea"/>
                            <a:cs typeface="+mn-cs"/>
                          </a:rPr>
                          <m:t>h</m:t>
                        </m:r>
                      </m:sub>
                    </m:sSub>
                    <m:r>
                      <a:rPr lang="es-MX" sz="1100" i="1">
                        <a:solidFill>
                          <a:schemeClr val="tx1"/>
                        </a:solidFill>
                        <a:effectLst/>
                        <a:latin typeface="Cambria Math"/>
                        <a:ea typeface="+mn-ea"/>
                        <a:cs typeface="+mn-cs"/>
                      </a:rPr>
                      <m:t>  </m:t>
                    </m:r>
                  </m:oMath>
                </m:oMathPara>
              </a14:m>
              <a:endParaRPr lang="es-MX" sz="1100"/>
            </a:p>
          </xdr:txBody>
        </xdr:sp>
      </mc:Choice>
      <mc:Fallback xmlns="">
        <xdr:sp macro="" textlink="">
          <xdr:nvSpPr>
            <xdr:cNvPr id="9" name="8 CuadroTexto"/>
            <xdr:cNvSpPr txBox="1"/>
          </xdr:nvSpPr>
          <xdr:spPr>
            <a:xfrm>
              <a:off x="1828799" y="11549062"/>
              <a:ext cx="13716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i="0">
                  <a:solidFill>
                    <a:schemeClr val="tx1"/>
                  </a:solidFill>
                  <a:effectLst/>
                  <a:latin typeface="Cambria Math"/>
                  <a:ea typeface="+mn-ea"/>
                  <a:cs typeface="+mn-cs"/>
                </a:rPr>
                <a:t>𝜎_𝐻=𝐾_𝑟 𝜎_𝑣+∆𝜎_ℎ   </a:t>
              </a:r>
              <a:endParaRPr lang="es-MX" sz="1100"/>
            </a:p>
          </xdr:txBody>
        </xdr:sp>
      </mc:Fallback>
    </mc:AlternateContent>
    <xdr:clientData/>
  </xdr:oneCellAnchor>
  <xdr:oneCellAnchor>
    <xdr:from>
      <xdr:col>2</xdr:col>
      <xdr:colOff>323849</xdr:colOff>
      <xdr:row>14</xdr:row>
      <xdr:rowOff>71437</xdr:rowOff>
    </xdr:from>
    <xdr:ext cx="1971675" cy="409215"/>
    <mc:AlternateContent xmlns:mc="http://schemas.openxmlformats.org/markup-compatibility/2006" xmlns:a14="http://schemas.microsoft.com/office/drawing/2010/main">
      <mc:Choice Requires="a14">
        <xdr:sp macro="" textlink="">
          <xdr:nvSpPr>
            <xdr:cNvPr id="10" name="9 CuadroTexto"/>
            <xdr:cNvSpPr txBox="1"/>
          </xdr:nvSpPr>
          <xdr:spPr>
            <a:xfrm>
              <a:off x="1847849" y="2967037"/>
              <a:ext cx="1971675" cy="4092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𝜎</m:t>
                        </m:r>
                      </m:e>
                      <m:sub>
                        <m:r>
                          <a:rPr lang="es-MX" sz="1100" i="1">
                            <a:solidFill>
                              <a:schemeClr val="tx1"/>
                            </a:solidFill>
                            <a:effectLst/>
                            <a:latin typeface="Cambria Math"/>
                            <a:ea typeface="+mn-ea"/>
                            <a:cs typeface="+mn-cs"/>
                          </a:rPr>
                          <m:t>𝑣</m:t>
                        </m:r>
                      </m:sub>
                    </m:sSub>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𝑉</m:t>
                            </m:r>
                          </m:e>
                          <m:sub>
                            <m:r>
                              <a:rPr lang="es-MX" sz="1100" i="1">
                                <a:solidFill>
                                  <a:schemeClr val="tx1"/>
                                </a:solidFill>
                                <a:effectLst/>
                                <a:latin typeface="Cambria Math"/>
                                <a:ea typeface="+mn-ea"/>
                                <a:cs typeface="+mn-cs"/>
                              </a:rPr>
                              <m:t>1</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𝑉</m:t>
                            </m:r>
                          </m:e>
                          <m:sub>
                            <m:r>
                              <a:rPr lang="es-MX" sz="1100" i="1">
                                <a:solidFill>
                                  <a:schemeClr val="tx1"/>
                                </a:solidFill>
                                <a:effectLst/>
                                <a:latin typeface="Cambria Math"/>
                                <a:ea typeface="+mn-ea"/>
                                <a:cs typeface="+mn-cs"/>
                              </a:rPr>
                              <m:t>2</m:t>
                            </m:r>
                          </m:sub>
                        </m:sSub>
                      </m:num>
                      <m:den>
                        <m:r>
                          <a:rPr lang="es-MX" sz="1100" i="1">
                            <a:solidFill>
                              <a:schemeClr val="tx1"/>
                            </a:solidFill>
                            <a:effectLst/>
                            <a:latin typeface="Cambria Math"/>
                            <a:ea typeface="+mn-ea"/>
                            <a:cs typeface="+mn-cs"/>
                          </a:rPr>
                          <m:t>𝐿</m:t>
                        </m:r>
                        <m:r>
                          <a:rPr lang="es-MX" sz="1100" i="1">
                            <a:solidFill>
                              <a:schemeClr val="tx1"/>
                            </a:solidFill>
                            <a:effectLst/>
                            <a:latin typeface="Cambria Math"/>
                            <a:ea typeface="+mn-ea"/>
                            <a:cs typeface="+mn-cs"/>
                          </a:rPr>
                          <m:t>−2</m:t>
                        </m:r>
                        <m:r>
                          <a:rPr lang="es-MX" sz="1100" i="1">
                            <a:solidFill>
                              <a:schemeClr val="tx1"/>
                            </a:solidFill>
                            <a:effectLst/>
                            <a:latin typeface="Cambria Math"/>
                            <a:ea typeface="+mn-ea"/>
                            <a:cs typeface="+mn-cs"/>
                          </a:rPr>
                          <m:t>𝑒</m:t>
                        </m:r>
                      </m:den>
                    </m:f>
                    <m:r>
                      <a:rPr lang="es-MX" sz="1100" b="0" i="1">
                        <a:solidFill>
                          <a:schemeClr val="tx1"/>
                        </a:solidFill>
                        <a:effectLst/>
                        <a:latin typeface="Cambria Math"/>
                        <a:ea typeface="+mn-ea"/>
                        <a:cs typeface="+mn-cs"/>
                      </a:rPr>
                      <m:t>+</m:t>
                    </m:r>
                    <m:r>
                      <a:rPr lang="es-MX" sz="1100" b="0" i="1">
                        <a:solidFill>
                          <a:schemeClr val="tx1"/>
                        </a:solidFill>
                        <a:effectLst/>
                        <a:latin typeface="Cambria Math"/>
                        <a:ea typeface="Cambria Math"/>
                        <a:cs typeface="+mn-cs"/>
                      </a:rPr>
                      <m:t>∆</m:t>
                    </m:r>
                    <m:sSub>
                      <m:sSubPr>
                        <m:ctrlPr>
                          <a:rPr lang="es-MX" sz="1100" b="0" i="1">
                            <a:solidFill>
                              <a:schemeClr val="tx1"/>
                            </a:solidFill>
                            <a:effectLst/>
                            <a:latin typeface="Cambria Math"/>
                            <a:ea typeface="Cambria Math"/>
                            <a:cs typeface="+mn-cs"/>
                          </a:rPr>
                        </m:ctrlPr>
                      </m:sSubPr>
                      <m:e>
                        <m:r>
                          <a:rPr lang="es-MX" sz="1100" b="0" i="1">
                            <a:solidFill>
                              <a:schemeClr val="tx1"/>
                            </a:solidFill>
                            <a:effectLst/>
                            <a:latin typeface="Cambria Math"/>
                            <a:ea typeface="Cambria Math"/>
                            <a:cs typeface="+mn-cs"/>
                          </a:rPr>
                          <m:t>𝜎</m:t>
                        </m:r>
                      </m:e>
                      <m:sub>
                        <m:r>
                          <a:rPr lang="es-MX" sz="1100" b="0" i="1">
                            <a:solidFill>
                              <a:schemeClr val="tx1"/>
                            </a:solidFill>
                            <a:effectLst/>
                            <a:latin typeface="Cambria Math"/>
                            <a:ea typeface="Cambria Math"/>
                            <a:cs typeface="+mn-cs"/>
                          </a:rPr>
                          <m:t>𝑉𝑚𝑎𝑥</m:t>
                        </m:r>
                      </m:sub>
                    </m:sSub>
                    <m:r>
                      <a:rPr lang="es-MX" sz="1100" i="1">
                        <a:solidFill>
                          <a:schemeClr val="tx1"/>
                        </a:solidFill>
                        <a:effectLst/>
                        <a:latin typeface="Cambria Math"/>
                        <a:ea typeface="+mn-ea"/>
                        <a:cs typeface="+mn-cs"/>
                      </a:rPr>
                      <m:t>  </m:t>
                    </m:r>
                  </m:oMath>
                </m:oMathPara>
              </a14:m>
              <a:endParaRPr lang="es-MX" sz="1100"/>
            </a:p>
          </xdr:txBody>
        </xdr:sp>
      </mc:Choice>
      <mc:Fallback xmlns="">
        <xdr:sp macro="" textlink="">
          <xdr:nvSpPr>
            <xdr:cNvPr id="10" name="9 CuadroTexto"/>
            <xdr:cNvSpPr txBox="1"/>
          </xdr:nvSpPr>
          <xdr:spPr>
            <a:xfrm>
              <a:off x="1847849" y="2967037"/>
              <a:ext cx="1971675" cy="4092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i="0">
                  <a:solidFill>
                    <a:schemeClr val="tx1"/>
                  </a:solidFill>
                  <a:effectLst/>
                  <a:latin typeface="Cambria Math"/>
                  <a:ea typeface="+mn-ea"/>
                  <a:cs typeface="+mn-cs"/>
                </a:rPr>
                <a:t>𝜎_𝑣=(𝑉_1+𝑉_2)/(𝐿−2𝑒)</a:t>
              </a:r>
              <a:r>
                <a:rPr lang="es-MX" sz="1100" b="0" i="0">
                  <a:solidFill>
                    <a:schemeClr val="tx1"/>
                  </a:solidFill>
                  <a:effectLst/>
                  <a:latin typeface="Cambria Math"/>
                  <a:ea typeface="+mn-ea"/>
                  <a:cs typeface="+mn-cs"/>
                </a:rPr>
                <a:t>+</a:t>
              </a:r>
              <a:r>
                <a:rPr lang="es-MX" sz="1100" b="0" i="0">
                  <a:solidFill>
                    <a:schemeClr val="tx1"/>
                  </a:solidFill>
                  <a:effectLst/>
                  <a:latin typeface="Cambria Math"/>
                  <a:ea typeface="Cambria Math"/>
                  <a:cs typeface="+mn-cs"/>
                </a:rPr>
                <a:t>∆𝜎_𝑉𝑚𝑎𝑥</a:t>
              </a:r>
              <a:r>
                <a:rPr lang="es-MX" sz="1100" b="0" i="0">
                  <a:solidFill>
                    <a:schemeClr val="tx1"/>
                  </a:solidFill>
                  <a:effectLst/>
                  <a:latin typeface="Cambria Math"/>
                  <a:ea typeface="+mn-ea"/>
                  <a:cs typeface="+mn-cs"/>
                </a:rPr>
                <a:t> </a:t>
              </a:r>
              <a:r>
                <a:rPr lang="es-MX" sz="1100" i="0">
                  <a:solidFill>
                    <a:schemeClr val="tx1"/>
                  </a:solidFill>
                  <a:effectLst/>
                  <a:latin typeface="Cambria Math"/>
                  <a:ea typeface="+mn-ea"/>
                  <a:cs typeface="+mn-cs"/>
                </a:rPr>
                <a:t>  </a:t>
              </a:r>
              <a:endParaRPr lang="es-MX" sz="1100"/>
            </a:p>
          </xdr:txBody>
        </xdr:sp>
      </mc:Fallback>
    </mc:AlternateContent>
    <xdr:clientData/>
  </xdr:oneCellAnchor>
  <xdr:oneCellAnchor>
    <xdr:from>
      <xdr:col>2</xdr:col>
      <xdr:colOff>295274</xdr:colOff>
      <xdr:row>20</xdr:row>
      <xdr:rowOff>157162</xdr:rowOff>
    </xdr:from>
    <xdr:ext cx="2480583" cy="275460"/>
    <mc:AlternateContent xmlns:mc="http://schemas.openxmlformats.org/markup-compatibility/2006" xmlns:a14="http://schemas.microsoft.com/office/drawing/2010/main">
      <mc:Choice Requires="a14">
        <xdr:sp macro="" textlink="">
          <xdr:nvSpPr>
            <xdr:cNvPr id="11" name="10 CuadroTexto"/>
            <xdr:cNvSpPr txBox="1"/>
          </xdr:nvSpPr>
          <xdr:spPr>
            <a:xfrm>
              <a:off x="1819274" y="4334555"/>
              <a:ext cx="2480583" cy="275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𝑞</m:t>
                        </m:r>
                      </m:e>
                      <m:sub>
                        <m:r>
                          <a:rPr lang="es-MX" sz="1100" i="1">
                            <a:solidFill>
                              <a:schemeClr val="tx1"/>
                            </a:solidFill>
                            <a:effectLst/>
                            <a:latin typeface="Cambria Math"/>
                            <a:ea typeface="+mn-ea"/>
                            <a:cs typeface="+mn-cs"/>
                          </a:rPr>
                          <m:t>𝑢𝑙𝑡</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𝑐</m:t>
                        </m:r>
                      </m:e>
                      <m:sub>
                        <m:r>
                          <a:rPr lang="es-MX" sz="1100" i="1">
                            <a:solidFill>
                              <a:schemeClr val="tx1"/>
                            </a:solidFill>
                            <a:effectLst/>
                            <a:latin typeface="Cambria Math"/>
                            <a:ea typeface="+mn-ea"/>
                            <a:cs typeface="+mn-cs"/>
                          </a:rPr>
                          <m:t>𝑓</m:t>
                        </m:r>
                      </m:sub>
                    </m:sSub>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𝑁</m:t>
                        </m:r>
                      </m:e>
                      <m:sub>
                        <m:r>
                          <a:rPr lang="es-MX" sz="1100" i="1">
                            <a:solidFill>
                              <a:schemeClr val="tx1"/>
                            </a:solidFill>
                            <a:effectLst/>
                            <a:latin typeface="Cambria Math"/>
                            <a:ea typeface="+mn-ea"/>
                            <a:cs typeface="+mn-cs"/>
                          </a:rPr>
                          <m:t>𝑐</m:t>
                        </m:r>
                      </m:sub>
                    </m:sSub>
                    <m:r>
                      <a:rPr lang="es-MX" sz="1100" i="1">
                        <a:solidFill>
                          <a:schemeClr val="tx1"/>
                        </a:solidFill>
                        <a:effectLst/>
                        <a:latin typeface="Cambria Math"/>
                        <a:ea typeface="+mn-ea"/>
                        <a:cs typeface="+mn-cs"/>
                      </a:rPr>
                      <m:t>+0.5</m:t>
                    </m:r>
                    <m:d>
                      <m:dPr>
                        <m:ctrlPr>
                          <a:rPr lang="es-MX" sz="1100" i="1">
                            <a:solidFill>
                              <a:schemeClr val="tx1"/>
                            </a:solidFill>
                            <a:effectLst/>
                            <a:latin typeface="Cambria Math"/>
                            <a:ea typeface="+mn-ea"/>
                            <a:cs typeface="+mn-cs"/>
                          </a:rPr>
                        </m:ctrlPr>
                      </m:dPr>
                      <m:e>
                        <m:r>
                          <a:rPr lang="es-MX" sz="1100" i="1">
                            <a:solidFill>
                              <a:schemeClr val="tx1"/>
                            </a:solidFill>
                            <a:effectLst/>
                            <a:latin typeface="Cambria Math"/>
                            <a:ea typeface="+mn-ea"/>
                            <a:cs typeface="+mn-cs"/>
                          </a:rPr>
                          <m:t>𝐿</m:t>
                        </m:r>
                        <m:r>
                          <a:rPr lang="es-MX" sz="1100" i="1">
                            <a:solidFill>
                              <a:schemeClr val="tx1"/>
                            </a:solidFill>
                            <a:effectLst/>
                            <a:latin typeface="Cambria Math"/>
                            <a:ea typeface="+mn-ea"/>
                            <a:cs typeface="+mn-cs"/>
                          </a:rPr>
                          <m:t>−2</m:t>
                        </m:r>
                        <m:r>
                          <a:rPr lang="es-MX" sz="1100" i="1">
                            <a:solidFill>
                              <a:schemeClr val="tx1"/>
                            </a:solidFill>
                            <a:effectLst/>
                            <a:latin typeface="Cambria Math"/>
                            <a:ea typeface="+mn-ea"/>
                            <a:cs typeface="+mn-cs"/>
                          </a:rPr>
                          <m:t>𝑒</m:t>
                        </m:r>
                      </m:e>
                    </m:d>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𝛾</m:t>
                        </m:r>
                      </m:e>
                      <m:sub>
                        <m:r>
                          <a:rPr lang="es-MX" sz="1100" i="1">
                            <a:solidFill>
                              <a:schemeClr val="tx1"/>
                            </a:solidFill>
                            <a:effectLst/>
                            <a:latin typeface="Cambria Math"/>
                            <a:ea typeface="+mn-ea"/>
                            <a:cs typeface="+mn-cs"/>
                          </a:rPr>
                          <m:t>𝑐</m:t>
                        </m:r>
                      </m:sub>
                    </m:sSub>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𝑁</m:t>
                        </m:r>
                      </m:e>
                      <m:sub>
                        <m:r>
                          <a:rPr lang="es-MX" sz="1100" i="1">
                            <a:solidFill>
                              <a:schemeClr val="tx1"/>
                            </a:solidFill>
                            <a:effectLst/>
                            <a:latin typeface="Cambria Math"/>
                            <a:ea typeface="+mn-ea"/>
                            <a:cs typeface="+mn-cs"/>
                          </a:rPr>
                          <m:t>𝛾</m:t>
                        </m:r>
                      </m:sub>
                    </m:sSub>
                  </m:oMath>
                </m:oMathPara>
              </a14:m>
              <a:endParaRPr lang="es-MX" sz="1100"/>
            </a:p>
          </xdr:txBody>
        </xdr:sp>
      </mc:Choice>
      <mc:Fallback xmlns="">
        <xdr:sp macro="" textlink="">
          <xdr:nvSpPr>
            <xdr:cNvPr id="11" name="10 CuadroTexto"/>
            <xdr:cNvSpPr txBox="1"/>
          </xdr:nvSpPr>
          <xdr:spPr>
            <a:xfrm>
              <a:off x="1819274" y="4334555"/>
              <a:ext cx="2480583" cy="275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i="0">
                  <a:solidFill>
                    <a:schemeClr val="tx1"/>
                  </a:solidFill>
                  <a:effectLst/>
                  <a:latin typeface="Cambria Math"/>
                  <a:ea typeface="+mn-ea"/>
                  <a:cs typeface="+mn-cs"/>
                </a:rPr>
                <a:t>𝑞_𝑢𝑙𝑡=𝑐_𝑓 𝑁_𝑐+0.5(𝐿−2𝑒) 𝛾_𝑐 𝑁_𝛾</a:t>
              </a:r>
              <a:endParaRPr lang="es-MX" sz="1100"/>
            </a:p>
          </xdr:txBody>
        </xdr:sp>
      </mc:Fallback>
    </mc:AlternateContent>
    <xdr:clientData/>
  </xdr:oneCellAnchor>
  <xdr:oneCellAnchor>
    <xdr:from>
      <xdr:col>2</xdr:col>
      <xdr:colOff>314325</xdr:colOff>
      <xdr:row>31</xdr:row>
      <xdr:rowOff>1</xdr:rowOff>
    </xdr:from>
    <xdr:ext cx="2311854" cy="275460"/>
    <mc:AlternateContent xmlns:mc="http://schemas.openxmlformats.org/markup-compatibility/2006" xmlns:a14="http://schemas.microsoft.com/office/drawing/2010/main">
      <mc:Choice Requires="a14">
        <xdr:sp macro="" textlink="">
          <xdr:nvSpPr>
            <xdr:cNvPr id="12" name="11 CuadroTexto"/>
            <xdr:cNvSpPr txBox="1"/>
          </xdr:nvSpPr>
          <xdr:spPr>
            <a:xfrm>
              <a:off x="1838325" y="6408965"/>
              <a:ext cx="2311854" cy="275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𝑞</m:t>
                        </m:r>
                      </m:e>
                      <m:sub>
                        <m:r>
                          <a:rPr lang="es-MX" sz="1100" i="1">
                            <a:solidFill>
                              <a:schemeClr val="tx1"/>
                            </a:solidFill>
                            <a:effectLst/>
                            <a:latin typeface="Cambria Math"/>
                            <a:ea typeface="+mn-ea"/>
                            <a:cs typeface="+mn-cs"/>
                          </a:rPr>
                          <m:t>𝑢𝑙𝑡</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𝑐</m:t>
                        </m:r>
                      </m:e>
                      <m:sub>
                        <m:r>
                          <a:rPr lang="es-MX" sz="1100" i="1">
                            <a:solidFill>
                              <a:schemeClr val="tx1"/>
                            </a:solidFill>
                            <a:effectLst/>
                            <a:latin typeface="Cambria Math"/>
                            <a:ea typeface="+mn-ea"/>
                            <a:cs typeface="+mn-cs"/>
                          </a:rPr>
                          <m:t>𝑓</m:t>
                        </m:r>
                      </m:sub>
                    </m:sSub>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𝑁</m:t>
                        </m:r>
                      </m:e>
                      <m:sub>
                        <m:r>
                          <a:rPr lang="es-MX" sz="1100" i="1">
                            <a:solidFill>
                              <a:schemeClr val="tx1"/>
                            </a:solidFill>
                            <a:effectLst/>
                            <a:latin typeface="Cambria Math"/>
                            <a:ea typeface="+mn-ea"/>
                            <a:cs typeface="+mn-cs"/>
                          </a:rPr>
                          <m:t>𝑐</m:t>
                        </m:r>
                      </m:sub>
                    </m:sSub>
                    <m:r>
                      <a:rPr lang="es-MX" sz="1100" i="1">
                        <a:solidFill>
                          <a:schemeClr val="tx1"/>
                        </a:solidFill>
                        <a:effectLst/>
                        <a:latin typeface="Cambria Math"/>
                        <a:ea typeface="+mn-ea"/>
                        <a:cs typeface="+mn-cs"/>
                      </a:rPr>
                      <m:t>+0.5</m:t>
                    </m:r>
                    <m:d>
                      <m:dPr>
                        <m:ctrlPr>
                          <a:rPr lang="es-MX" sz="1100" i="1">
                            <a:solidFill>
                              <a:schemeClr val="tx1"/>
                            </a:solidFill>
                            <a:effectLst/>
                            <a:latin typeface="Cambria Math"/>
                            <a:ea typeface="+mn-ea"/>
                            <a:cs typeface="+mn-cs"/>
                          </a:rPr>
                        </m:ctrlPr>
                      </m:dPr>
                      <m:e>
                        <m:r>
                          <a:rPr lang="es-MX" sz="1100" i="1">
                            <a:solidFill>
                              <a:schemeClr val="tx1"/>
                            </a:solidFill>
                            <a:effectLst/>
                            <a:latin typeface="Cambria Math"/>
                            <a:ea typeface="+mn-ea"/>
                            <a:cs typeface="+mn-cs"/>
                          </a:rPr>
                          <m:t>𝐿</m:t>
                        </m:r>
                        <m:r>
                          <a:rPr lang="es-MX" sz="1100" i="1">
                            <a:solidFill>
                              <a:schemeClr val="tx1"/>
                            </a:solidFill>
                            <a:effectLst/>
                            <a:latin typeface="Cambria Math"/>
                            <a:ea typeface="+mn-ea"/>
                            <a:cs typeface="+mn-cs"/>
                          </a:rPr>
                          <m:t>−2</m:t>
                        </m:r>
                        <m:r>
                          <a:rPr lang="es-MX" sz="1100" i="1">
                            <a:solidFill>
                              <a:schemeClr val="tx1"/>
                            </a:solidFill>
                            <a:effectLst/>
                            <a:latin typeface="Cambria Math"/>
                            <a:ea typeface="+mn-ea"/>
                            <a:cs typeface="+mn-cs"/>
                          </a:rPr>
                          <m:t>𝑒</m:t>
                        </m:r>
                      </m:e>
                    </m:d>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𝛾</m:t>
                        </m:r>
                      </m:e>
                      <m:sub>
                        <m:r>
                          <a:rPr lang="es-MX" sz="1100" i="1">
                            <a:solidFill>
                              <a:schemeClr val="tx1"/>
                            </a:solidFill>
                            <a:effectLst/>
                            <a:latin typeface="Cambria Math"/>
                            <a:ea typeface="+mn-ea"/>
                            <a:cs typeface="+mn-cs"/>
                          </a:rPr>
                          <m:t>𝑐</m:t>
                        </m:r>
                      </m:sub>
                    </m:sSub>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𝑁</m:t>
                        </m:r>
                      </m:e>
                      <m:sub>
                        <m:r>
                          <a:rPr lang="es-MX" sz="1100" i="1">
                            <a:solidFill>
                              <a:schemeClr val="tx1"/>
                            </a:solidFill>
                            <a:effectLst/>
                            <a:latin typeface="Cambria Math"/>
                            <a:ea typeface="+mn-ea"/>
                            <a:cs typeface="+mn-cs"/>
                          </a:rPr>
                          <m:t>𝛾</m:t>
                        </m:r>
                      </m:sub>
                    </m:sSub>
                  </m:oMath>
                </m:oMathPara>
              </a14:m>
              <a:endParaRPr lang="es-MX" sz="1100"/>
            </a:p>
          </xdr:txBody>
        </xdr:sp>
      </mc:Choice>
      <mc:Fallback xmlns="">
        <xdr:sp macro="" textlink="">
          <xdr:nvSpPr>
            <xdr:cNvPr id="12" name="11 CuadroTexto"/>
            <xdr:cNvSpPr txBox="1"/>
          </xdr:nvSpPr>
          <xdr:spPr>
            <a:xfrm>
              <a:off x="1838325" y="6408965"/>
              <a:ext cx="2311854" cy="275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i="0">
                  <a:solidFill>
                    <a:schemeClr val="tx1"/>
                  </a:solidFill>
                  <a:effectLst/>
                  <a:latin typeface="Cambria Math"/>
                  <a:ea typeface="+mn-ea"/>
                  <a:cs typeface="+mn-cs"/>
                </a:rPr>
                <a:t>𝑞_𝑢𝑙𝑡=𝑐_𝑓 𝑁_𝑐+0.5(𝐿−2𝑒) 𝛾_𝑐 𝑁_𝛾</a:t>
              </a:r>
              <a:endParaRPr lang="es-MX" sz="1100"/>
            </a:p>
          </xdr:txBody>
        </xdr:sp>
      </mc:Fallback>
    </mc:AlternateContent>
    <xdr:clientData/>
  </xdr:oneCellAnchor>
  <xdr:oneCellAnchor>
    <xdr:from>
      <xdr:col>2</xdr:col>
      <xdr:colOff>342900</xdr:colOff>
      <xdr:row>38</xdr:row>
      <xdr:rowOff>71437</xdr:rowOff>
    </xdr:from>
    <xdr:ext cx="1143000" cy="390813"/>
    <mc:AlternateContent xmlns:mc="http://schemas.openxmlformats.org/markup-compatibility/2006" xmlns:a14="http://schemas.microsoft.com/office/drawing/2010/main">
      <mc:Choice Requires="a14">
        <xdr:sp macro="" textlink="">
          <xdr:nvSpPr>
            <xdr:cNvPr id="13" name="12 CuadroTexto"/>
            <xdr:cNvSpPr txBox="1"/>
          </xdr:nvSpPr>
          <xdr:spPr>
            <a:xfrm>
              <a:off x="1866900" y="54763987"/>
              <a:ext cx="1143000" cy="390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𝜎</m:t>
                        </m:r>
                      </m:e>
                      <m:sub>
                        <m:r>
                          <a:rPr lang="es-MX" sz="1100" i="1">
                            <a:solidFill>
                              <a:schemeClr val="tx1"/>
                            </a:solidFill>
                            <a:effectLst/>
                            <a:latin typeface="Cambria Math"/>
                            <a:ea typeface="+mn-ea"/>
                            <a:cs typeface="+mn-cs"/>
                          </a:rPr>
                          <m:t>𝑣</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𝑞</m:t>
                        </m:r>
                      </m:e>
                      <m:sub>
                        <m:r>
                          <a:rPr lang="es-MX" sz="1100" i="1">
                            <a:solidFill>
                              <a:schemeClr val="tx1"/>
                            </a:solidFill>
                            <a:effectLst/>
                            <a:latin typeface="Cambria Math"/>
                            <a:ea typeface="+mn-ea"/>
                            <a:cs typeface="+mn-cs"/>
                          </a:rPr>
                          <m:t>𝑎</m:t>
                        </m:r>
                      </m:sub>
                    </m:sSub>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𝑞</m:t>
                            </m:r>
                          </m:e>
                          <m:sub>
                            <m:r>
                              <a:rPr lang="es-MX" sz="1100" i="1">
                                <a:solidFill>
                                  <a:schemeClr val="tx1"/>
                                </a:solidFill>
                                <a:effectLst/>
                                <a:latin typeface="Cambria Math"/>
                                <a:ea typeface="+mn-ea"/>
                                <a:cs typeface="+mn-cs"/>
                              </a:rPr>
                              <m:t>𝑢𝑙𝑡</m:t>
                            </m:r>
                          </m:sub>
                        </m:sSub>
                      </m:num>
                      <m:den>
                        <m:r>
                          <a:rPr lang="es-MX" sz="1100" i="1">
                            <a:solidFill>
                              <a:schemeClr val="tx1"/>
                            </a:solidFill>
                            <a:effectLst/>
                            <a:latin typeface="Cambria Math"/>
                            <a:ea typeface="+mn-ea"/>
                            <a:cs typeface="+mn-cs"/>
                          </a:rPr>
                          <m:t>𝐹</m:t>
                        </m:r>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𝑆</m:t>
                        </m:r>
                        <m:r>
                          <a:rPr lang="es-MX" sz="1100" i="1">
                            <a:solidFill>
                              <a:schemeClr val="tx1"/>
                            </a:solidFill>
                            <a:effectLst/>
                            <a:latin typeface="Cambria Math"/>
                            <a:ea typeface="+mn-ea"/>
                            <a:cs typeface="+mn-cs"/>
                          </a:rPr>
                          <m:t>.</m:t>
                        </m:r>
                      </m:den>
                    </m:f>
                  </m:oMath>
                </m:oMathPara>
              </a14:m>
              <a:endParaRPr lang="es-MX" sz="1100"/>
            </a:p>
          </xdr:txBody>
        </xdr:sp>
      </mc:Choice>
      <mc:Fallback xmlns="">
        <xdr:sp macro="" textlink="">
          <xdr:nvSpPr>
            <xdr:cNvPr id="13" name="12 CuadroTexto"/>
            <xdr:cNvSpPr txBox="1"/>
          </xdr:nvSpPr>
          <xdr:spPr>
            <a:xfrm>
              <a:off x="1866900" y="54763987"/>
              <a:ext cx="1143000" cy="390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i="0">
                  <a:solidFill>
                    <a:schemeClr val="tx1"/>
                  </a:solidFill>
                  <a:effectLst/>
                  <a:latin typeface="Cambria Math"/>
                  <a:ea typeface="+mn-ea"/>
                  <a:cs typeface="+mn-cs"/>
                </a:rPr>
                <a:t>𝜎_𝑣≤𝑞_𝑎=𝑞_𝑢𝑙𝑡/(𝐹.𝑆.)</a:t>
              </a:r>
              <a:endParaRPr lang="es-MX" sz="1100"/>
            </a:p>
          </xdr:txBody>
        </xdr:sp>
      </mc:Fallback>
    </mc:AlternateContent>
    <xdr:clientData/>
  </xdr:oneCellAnchor>
  <xdr:oneCellAnchor>
    <xdr:from>
      <xdr:col>2</xdr:col>
      <xdr:colOff>285750</xdr:colOff>
      <xdr:row>42</xdr:row>
      <xdr:rowOff>100012</xdr:rowOff>
    </xdr:from>
    <xdr:ext cx="914400" cy="390813"/>
    <mc:AlternateContent xmlns:mc="http://schemas.openxmlformats.org/markup-compatibility/2006" xmlns:a14="http://schemas.microsoft.com/office/drawing/2010/main">
      <mc:Choice Requires="a14">
        <xdr:sp macro="" textlink="">
          <xdr:nvSpPr>
            <xdr:cNvPr id="14" name="13 CuadroTexto"/>
            <xdr:cNvSpPr txBox="1"/>
          </xdr:nvSpPr>
          <xdr:spPr>
            <a:xfrm>
              <a:off x="1809750" y="55554562"/>
              <a:ext cx="914400" cy="390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𝑞</m:t>
                        </m:r>
                      </m:e>
                      <m:sub>
                        <m:r>
                          <a:rPr lang="es-MX" sz="1100" i="1">
                            <a:solidFill>
                              <a:schemeClr val="tx1"/>
                            </a:solidFill>
                            <a:effectLst/>
                            <a:latin typeface="Cambria Math"/>
                            <a:ea typeface="+mn-ea"/>
                            <a:cs typeface="+mn-cs"/>
                          </a:rPr>
                          <m:t>𝑎</m:t>
                        </m:r>
                      </m:sub>
                    </m:sSub>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𝑞</m:t>
                            </m:r>
                          </m:e>
                          <m:sub>
                            <m:r>
                              <a:rPr lang="es-MX" sz="1100" i="1">
                                <a:solidFill>
                                  <a:schemeClr val="tx1"/>
                                </a:solidFill>
                                <a:effectLst/>
                                <a:latin typeface="Cambria Math"/>
                                <a:ea typeface="+mn-ea"/>
                                <a:cs typeface="+mn-cs"/>
                              </a:rPr>
                              <m:t>𝑢𝑙𝑡</m:t>
                            </m:r>
                          </m:sub>
                        </m:sSub>
                      </m:num>
                      <m:den>
                        <m:r>
                          <a:rPr lang="es-MX" sz="1100" i="1">
                            <a:solidFill>
                              <a:schemeClr val="tx1"/>
                            </a:solidFill>
                            <a:effectLst/>
                            <a:latin typeface="Cambria Math"/>
                            <a:ea typeface="+mn-ea"/>
                            <a:cs typeface="+mn-cs"/>
                          </a:rPr>
                          <m:t>𝐹</m:t>
                        </m:r>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𝑆</m:t>
                        </m:r>
                        <m:r>
                          <a:rPr lang="es-MX" sz="1100" i="1">
                            <a:solidFill>
                              <a:schemeClr val="tx1"/>
                            </a:solidFill>
                            <a:effectLst/>
                            <a:latin typeface="Cambria Math"/>
                            <a:ea typeface="+mn-ea"/>
                            <a:cs typeface="+mn-cs"/>
                          </a:rPr>
                          <m:t>.</m:t>
                        </m:r>
                      </m:den>
                    </m:f>
                  </m:oMath>
                </m:oMathPara>
              </a14:m>
              <a:endParaRPr lang="es-MX" sz="1100"/>
            </a:p>
          </xdr:txBody>
        </xdr:sp>
      </mc:Choice>
      <mc:Fallback xmlns="">
        <xdr:sp macro="" textlink="">
          <xdr:nvSpPr>
            <xdr:cNvPr id="14" name="13 CuadroTexto"/>
            <xdr:cNvSpPr txBox="1"/>
          </xdr:nvSpPr>
          <xdr:spPr>
            <a:xfrm>
              <a:off x="1809750" y="55554562"/>
              <a:ext cx="914400" cy="390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es-MX" sz="1100" i="0">
                  <a:solidFill>
                    <a:schemeClr val="tx1"/>
                  </a:solidFill>
                  <a:effectLst/>
                  <a:latin typeface="Cambria Math"/>
                  <a:ea typeface="+mn-ea"/>
                  <a:cs typeface="+mn-cs"/>
                </a:rPr>
                <a:t>𝑞_𝑎=𝑞_𝑢𝑙𝑡/(𝐹.𝑆.)</a:t>
              </a:r>
              <a:endParaRPr lang="es-MX" sz="1100"/>
            </a:p>
          </xdr:txBody>
        </xdr:sp>
      </mc:Fallback>
    </mc:AlternateContent>
    <xdr:clientData/>
  </xdr:oneCellAnchor>
  <xdr:oneCellAnchor>
    <xdr:from>
      <xdr:col>0</xdr:col>
      <xdr:colOff>666750</xdr:colOff>
      <xdr:row>77</xdr:row>
      <xdr:rowOff>52387</xdr:rowOff>
    </xdr:from>
    <xdr:ext cx="2571750" cy="385763"/>
    <mc:AlternateContent xmlns:mc="http://schemas.openxmlformats.org/markup-compatibility/2006" xmlns:a14="http://schemas.microsoft.com/office/drawing/2010/main">
      <mc:Choice Requires="a14">
        <xdr:sp macro="" textlink="">
          <xdr:nvSpPr>
            <xdr:cNvPr id="5" name="4 CuadroTexto"/>
            <xdr:cNvSpPr txBox="1"/>
          </xdr:nvSpPr>
          <xdr:spPr>
            <a:xfrm>
              <a:off x="666750" y="15686994"/>
              <a:ext cx="2571750" cy="385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𝐹</m:t>
                        </m:r>
                      </m:e>
                      <m:sub>
                        <m:r>
                          <a:rPr lang="es-MX" sz="1100" i="1">
                            <a:solidFill>
                              <a:schemeClr val="tx1"/>
                            </a:solidFill>
                            <a:effectLst/>
                            <a:latin typeface="Cambria Math"/>
                            <a:ea typeface="+mn-ea"/>
                            <a:cs typeface="+mn-cs"/>
                          </a:rPr>
                          <m:t>𝑎</m:t>
                        </m:r>
                        <m:r>
                          <a:rPr lang="es-MX" sz="1100" i="1">
                            <a:solidFill>
                              <a:schemeClr val="tx1"/>
                            </a:solidFill>
                            <a:effectLst/>
                            <a:latin typeface="Cambria Math"/>
                            <a:ea typeface="+mn-ea"/>
                            <a:cs typeface="+mn-cs"/>
                          </a:rPr>
                          <m:t>1</m:t>
                        </m:r>
                      </m:sub>
                    </m:sSub>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𝑝𝑟𝑖𝑚𝑒𝑟</m:t>
                    </m:r>
                    <m:r>
                      <a:rPr lang="es-MX" sz="1100" i="1">
                        <a:solidFill>
                          <a:schemeClr val="tx1"/>
                        </a:solidFill>
                        <a:effectLst/>
                        <a:latin typeface="Cambria Math"/>
                        <a:ea typeface="+mn-ea"/>
                        <a:cs typeface="+mn-cs"/>
                      </a:rPr>
                      <m:t> </m:t>
                    </m:r>
                    <m:r>
                      <a:rPr lang="es-MX" sz="1100" i="1">
                        <a:solidFill>
                          <a:schemeClr val="tx1"/>
                        </a:solidFill>
                        <a:effectLst/>
                        <a:latin typeface="Cambria Math"/>
                        <a:ea typeface="+mn-ea"/>
                        <a:cs typeface="+mn-cs"/>
                      </a:rPr>
                      <m:t>𝑟𝑒𝑓𝑢𝑒𝑟𝑧𝑜</m:t>
                    </m:r>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r>
                          <a:rPr lang="es-MX" sz="1100" i="1">
                            <a:solidFill>
                              <a:schemeClr val="tx1"/>
                            </a:solidFill>
                            <a:effectLst/>
                            <a:latin typeface="Cambria Math"/>
                            <a:ea typeface="+mn-ea"/>
                            <a:cs typeface="+mn-cs"/>
                          </a:rPr>
                          <m:t>1</m:t>
                        </m:r>
                      </m:num>
                      <m:den>
                        <m:r>
                          <a:rPr lang="es-MX" sz="1100" i="1">
                            <a:solidFill>
                              <a:schemeClr val="tx1"/>
                            </a:solidFill>
                            <a:effectLst/>
                            <a:latin typeface="Cambria Math"/>
                            <a:ea typeface="+mn-ea"/>
                            <a:cs typeface="+mn-cs"/>
                          </a:rPr>
                          <m:t>2</m:t>
                        </m:r>
                      </m:den>
                    </m:f>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𝛾</m:t>
                        </m:r>
                      </m:e>
                      <m:sub>
                        <m:r>
                          <a:rPr lang="es-MX" sz="1100" i="1">
                            <a:solidFill>
                              <a:schemeClr val="tx1"/>
                            </a:solidFill>
                            <a:effectLst/>
                            <a:latin typeface="Cambria Math"/>
                            <a:ea typeface="+mn-ea"/>
                            <a:cs typeface="+mn-cs"/>
                          </a:rPr>
                          <m:t>𝑟</m:t>
                        </m:r>
                      </m:sub>
                    </m:sSub>
                    <m:sSubSup>
                      <m:sSubSupPr>
                        <m:ctrlPr>
                          <a:rPr lang="es-MX" sz="1100" i="1">
                            <a:solidFill>
                              <a:schemeClr val="tx1"/>
                            </a:solidFill>
                            <a:effectLst/>
                            <a:latin typeface="Cambria Math"/>
                            <a:ea typeface="+mn-ea"/>
                            <a:cs typeface="+mn-cs"/>
                          </a:rPr>
                        </m:ctrlPr>
                      </m:sSubSupPr>
                      <m:e>
                        <m:r>
                          <a:rPr lang="es-MX" sz="1100" b="0" i="1">
                            <a:solidFill>
                              <a:schemeClr val="tx1"/>
                            </a:solidFill>
                            <a:effectLst/>
                            <a:latin typeface="Cambria Math"/>
                            <a:ea typeface="+mn-ea"/>
                            <a:cs typeface="+mn-cs"/>
                          </a:rPr>
                          <m:t>𝑍</m:t>
                        </m:r>
                      </m:e>
                      <m:sub>
                        <m:r>
                          <a:rPr lang="es-MX" sz="1100" i="1">
                            <a:solidFill>
                              <a:schemeClr val="tx1"/>
                            </a:solidFill>
                            <a:effectLst/>
                            <a:latin typeface="Cambria Math"/>
                            <a:ea typeface="+mn-ea"/>
                            <a:cs typeface="+mn-cs"/>
                          </a:rPr>
                          <m:t>𝑢𝑙𝑡</m:t>
                        </m:r>
                      </m:sub>
                      <m:sup>
                        <m:r>
                          <a:rPr lang="es-MX" sz="1100" i="1">
                            <a:solidFill>
                              <a:schemeClr val="tx1"/>
                            </a:solidFill>
                            <a:effectLst/>
                            <a:latin typeface="Cambria Math"/>
                            <a:ea typeface="+mn-ea"/>
                            <a:cs typeface="+mn-cs"/>
                          </a:rPr>
                          <m:t>2</m:t>
                        </m:r>
                      </m:sup>
                    </m:sSubSup>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𝐾</m:t>
                        </m:r>
                      </m:e>
                      <m:sub>
                        <m:r>
                          <a:rPr lang="es-MX" sz="1100" i="1">
                            <a:solidFill>
                              <a:schemeClr val="tx1"/>
                            </a:solidFill>
                            <a:effectLst/>
                            <a:latin typeface="Cambria Math"/>
                            <a:ea typeface="+mn-ea"/>
                            <a:cs typeface="+mn-cs"/>
                          </a:rPr>
                          <m:t>𝑎</m:t>
                        </m:r>
                        <m:r>
                          <a:rPr lang="es-MX" sz="1100" b="0" i="1">
                            <a:solidFill>
                              <a:schemeClr val="tx1"/>
                            </a:solidFill>
                            <a:effectLst/>
                            <a:latin typeface="Cambria Math"/>
                            <a:ea typeface="+mn-ea"/>
                            <a:cs typeface="+mn-cs"/>
                          </a:rPr>
                          <m:t>𝑟</m:t>
                        </m:r>
                      </m:sub>
                    </m:sSub>
                  </m:oMath>
                </m:oMathPara>
              </a14:m>
              <a:endParaRPr lang="es-MX" sz="1100">
                <a:solidFill>
                  <a:schemeClr val="tx1"/>
                </a:solidFill>
                <a:effectLst/>
                <a:latin typeface="+mn-lt"/>
                <a:ea typeface="+mn-ea"/>
                <a:cs typeface="+mn-cs"/>
              </a:endParaRPr>
            </a:p>
            <a:p>
              <a:endParaRPr lang="es-MX" sz="1100"/>
            </a:p>
          </xdr:txBody>
        </xdr:sp>
      </mc:Choice>
      <mc:Fallback xmlns="">
        <xdr:sp macro="" textlink="">
          <xdr:nvSpPr>
            <xdr:cNvPr id="5" name="4 CuadroTexto"/>
            <xdr:cNvSpPr txBox="1"/>
          </xdr:nvSpPr>
          <xdr:spPr>
            <a:xfrm>
              <a:off x="666750" y="15686994"/>
              <a:ext cx="2571750" cy="385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1100" i="0">
                  <a:solidFill>
                    <a:schemeClr val="tx1"/>
                  </a:solidFill>
                  <a:effectLst/>
                  <a:latin typeface="Cambria Math"/>
                  <a:ea typeface="+mn-ea"/>
                  <a:cs typeface="+mn-cs"/>
                </a:rPr>
                <a:t>𝐹_𝑎1@𝑝𝑟𝑖𝑚𝑒𝑟 𝑟𝑒𝑓𝑢𝑒𝑟𝑧𝑜=1/2 𝛾_𝑟 </a:t>
              </a:r>
              <a:r>
                <a:rPr lang="es-MX" sz="1100" b="0" i="0">
                  <a:solidFill>
                    <a:schemeClr val="tx1"/>
                  </a:solidFill>
                  <a:effectLst/>
                  <a:latin typeface="Cambria Math"/>
                  <a:ea typeface="+mn-ea"/>
                  <a:cs typeface="+mn-cs"/>
                </a:rPr>
                <a:t>𝑍_</a:t>
              </a:r>
              <a:r>
                <a:rPr lang="es-MX" sz="1100" i="0">
                  <a:solidFill>
                    <a:schemeClr val="tx1"/>
                  </a:solidFill>
                  <a:effectLst/>
                  <a:latin typeface="Cambria Math"/>
                  <a:ea typeface="+mn-ea"/>
                  <a:cs typeface="+mn-cs"/>
                </a:rPr>
                <a:t>𝑢𝑙𝑡^2 𝐾_𝑎</a:t>
              </a:r>
              <a:r>
                <a:rPr lang="es-MX" sz="1100" b="0" i="0">
                  <a:solidFill>
                    <a:schemeClr val="tx1"/>
                  </a:solidFill>
                  <a:effectLst/>
                  <a:latin typeface="Cambria Math"/>
                  <a:ea typeface="+mn-ea"/>
                  <a:cs typeface="+mn-cs"/>
                </a:rPr>
                <a:t>𝑟</a:t>
              </a:r>
              <a:endParaRPr lang="es-MX" sz="1100">
                <a:solidFill>
                  <a:schemeClr val="tx1"/>
                </a:solidFill>
                <a:effectLst/>
                <a:latin typeface="+mn-lt"/>
                <a:ea typeface="+mn-ea"/>
                <a:cs typeface="+mn-cs"/>
              </a:endParaRPr>
            </a:p>
            <a:p>
              <a:endParaRPr lang="es-MX" sz="1100"/>
            </a:p>
          </xdr:txBody>
        </xdr:sp>
      </mc:Fallback>
    </mc:AlternateContent>
    <xdr:clientData/>
  </xdr:oneCellAnchor>
  <xdr:oneCellAnchor>
    <xdr:from>
      <xdr:col>0</xdr:col>
      <xdr:colOff>638174</xdr:colOff>
      <xdr:row>81</xdr:row>
      <xdr:rowOff>166687</xdr:rowOff>
    </xdr:from>
    <xdr:ext cx="2266951" cy="290513"/>
    <mc:AlternateContent xmlns:mc="http://schemas.openxmlformats.org/markup-compatibility/2006" xmlns:a14="http://schemas.microsoft.com/office/drawing/2010/main">
      <mc:Choice Requires="a14">
        <xdr:sp macro="" textlink="">
          <xdr:nvSpPr>
            <xdr:cNvPr id="7" name="6 CuadroTexto"/>
            <xdr:cNvSpPr txBox="1"/>
          </xdr:nvSpPr>
          <xdr:spPr>
            <a:xfrm>
              <a:off x="638174" y="16654462"/>
              <a:ext cx="2266951" cy="2905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𝐹</m:t>
                        </m:r>
                      </m:e>
                      <m:sub>
                        <m:r>
                          <a:rPr lang="es-MX" sz="1100" i="1">
                            <a:solidFill>
                              <a:schemeClr val="tx1"/>
                            </a:solidFill>
                            <a:effectLst/>
                            <a:latin typeface="Cambria Math"/>
                            <a:ea typeface="+mn-ea"/>
                            <a:cs typeface="+mn-cs"/>
                          </a:rPr>
                          <m:t>𝑎</m:t>
                        </m:r>
                        <m:r>
                          <a:rPr lang="es-MX" sz="1100" i="1">
                            <a:solidFill>
                              <a:schemeClr val="tx1"/>
                            </a:solidFill>
                            <a:effectLst/>
                            <a:latin typeface="Cambria Math"/>
                            <a:ea typeface="+mn-ea"/>
                            <a:cs typeface="+mn-cs"/>
                          </a:rPr>
                          <m:t>2</m:t>
                        </m:r>
                      </m:sub>
                    </m:sSub>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𝑝𝑟𝑖𝑚𝑒𝑟</m:t>
                    </m:r>
                    <m:r>
                      <a:rPr lang="es-MX" sz="1100" i="1">
                        <a:solidFill>
                          <a:schemeClr val="tx1"/>
                        </a:solidFill>
                        <a:effectLst/>
                        <a:latin typeface="Cambria Math"/>
                        <a:ea typeface="+mn-ea"/>
                        <a:cs typeface="+mn-cs"/>
                      </a:rPr>
                      <m:t> </m:t>
                    </m:r>
                    <m:r>
                      <a:rPr lang="es-MX" sz="1100" i="1">
                        <a:solidFill>
                          <a:schemeClr val="tx1"/>
                        </a:solidFill>
                        <a:effectLst/>
                        <a:latin typeface="Cambria Math"/>
                        <a:ea typeface="+mn-ea"/>
                        <a:cs typeface="+mn-cs"/>
                      </a:rPr>
                      <m:t>𝑟𝑒𝑓𝑢𝑒𝑟𝑧𝑜</m:t>
                    </m:r>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𝑞</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𝑍</m:t>
                        </m:r>
                      </m:e>
                      <m:sub>
                        <m:r>
                          <a:rPr lang="es-MX" sz="1100" i="1">
                            <a:solidFill>
                              <a:schemeClr val="tx1"/>
                            </a:solidFill>
                            <a:effectLst/>
                            <a:latin typeface="Cambria Math"/>
                            <a:ea typeface="+mn-ea"/>
                            <a:cs typeface="+mn-cs"/>
                          </a:rPr>
                          <m:t>𝑢𝑙𝑡</m:t>
                        </m:r>
                      </m:sub>
                    </m:sSub>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𝐾</m:t>
                        </m:r>
                      </m:e>
                      <m:sub>
                        <m:r>
                          <a:rPr lang="es-MX" sz="1100" i="1">
                            <a:solidFill>
                              <a:schemeClr val="tx1"/>
                            </a:solidFill>
                            <a:effectLst/>
                            <a:latin typeface="Cambria Math"/>
                            <a:ea typeface="+mn-ea"/>
                            <a:cs typeface="+mn-cs"/>
                          </a:rPr>
                          <m:t>𝑎</m:t>
                        </m:r>
                        <m:r>
                          <a:rPr lang="es-MX" sz="1100" b="0" i="1">
                            <a:solidFill>
                              <a:schemeClr val="tx1"/>
                            </a:solidFill>
                            <a:effectLst/>
                            <a:latin typeface="Cambria Math"/>
                            <a:ea typeface="+mn-ea"/>
                            <a:cs typeface="+mn-cs"/>
                          </a:rPr>
                          <m:t>𝑟</m:t>
                        </m:r>
                      </m:sub>
                    </m:sSub>
                  </m:oMath>
                </m:oMathPara>
              </a14:m>
              <a:endParaRPr lang="es-MX" sz="1100">
                <a:solidFill>
                  <a:schemeClr val="tx1"/>
                </a:solidFill>
                <a:effectLst/>
                <a:latin typeface="+mn-lt"/>
                <a:ea typeface="+mn-ea"/>
                <a:cs typeface="+mn-cs"/>
              </a:endParaRPr>
            </a:p>
            <a:p>
              <a:endParaRPr lang="es-MX" sz="1100"/>
            </a:p>
          </xdr:txBody>
        </xdr:sp>
      </mc:Choice>
      <mc:Fallback xmlns="">
        <xdr:sp macro="" textlink="">
          <xdr:nvSpPr>
            <xdr:cNvPr id="7" name="6 CuadroTexto"/>
            <xdr:cNvSpPr txBox="1"/>
          </xdr:nvSpPr>
          <xdr:spPr>
            <a:xfrm>
              <a:off x="638174" y="16654462"/>
              <a:ext cx="2266951" cy="2905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1100" i="0">
                  <a:solidFill>
                    <a:schemeClr val="tx1"/>
                  </a:solidFill>
                  <a:effectLst/>
                  <a:latin typeface="Cambria Math"/>
                  <a:ea typeface="+mn-ea"/>
                  <a:cs typeface="+mn-cs"/>
                </a:rPr>
                <a:t>𝐹_𝑎2@𝑝𝑟𝑖𝑚𝑒𝑟 𝑟𝑒𝑓𝑢𝑒𝑟𝑧𝑜=𝑞𝑍_𝑢𝑙𝑡 𝐾_𝑎</a:t>
              </a:r>
              <a:r>
                <a:rPr lang="es-MX" sz="1100" b="0" i="0">
                  <a:solidFill>
                    <a:schemeClr val="tx1"/>
                  </a:solidFill>
                  <a:effectLst/>
                  <a:latin typeface="Cambria Math"/>
                  <a:ea typeface="+mn-ea"/>
                  <a:cs typeface="+mn-cs"/>
                </a:rPr>
                <a:t>𝑟</a:t>
              </a:r>
              <a:endParaRPr lang="es-MX" sz="1100">
                <a:solidFill>
                  <a:schemeClr val="tx1"/>
                </a:solidFill>
                <a:effectLst/>
                <a:latin typeface="+mn-lt"/>
                <a:ea typeface="+mn-ea"/>
                <a:cs typeface="+mn-cs"/>
              </a:endParaRPr>
            </a:p>
            <a:p>
              <a:endParaRPr lang="es-MX" sz="1100"/>
            </a:p>
          </xdr:txBody>
        </xdr:sp>
      </mc:Fallback>
    </mc:AlternateContent>
    <xdr:clientData/>
  </xdr:oneCellAnchor>
  <xdr:oneCellAnchor>
    <xdr:from>
      <xdr:col>0</xdr:col>
      <xdr:colOff>761998</xdr:colOff>
      <xdr:row>87</xdr:row>
      <xdr:rowOff>52387</xdr:rowOff>
    </xdr:from>
    <xdr:ext cx="3524251" cy="461963"/>
    <mc:AlternateContent xmlns:mc="http://schemas.openxmlformats.org/markup-compatibility/2006" xmlns:a14="http://schemas.microsoft.com/office/drawing/2010/main">
      <mc:Choice Requires="a14">
        <xdr:sp macro="" textlink="">
          <xdr:nvSpPr>
            <xdr:cNvPr id="16" name="15 CuadroTexto"/>
            <xdr:cNvSpPr txBox="1"/>
          </xdr:nvSpPr>
          <xdr:spPr>
            <a:xfrm>
              <a:off x="761998" y="17683162"/>
              <a:ext cx="3524251" cy="4619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𝐹</m:t>
                        </m:r>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𝑆</m:t>
                        </m:r>
                        <m:r>
                          <a:rPr lang="es-MX" sz="1100" i="1">
                            <a:solidFill>
                              <a:schemeClr val="tx1"/>
                            </a:solidFill>
                            <a:effectLst/>
                            <a:latin typeface="Cambria Math"/>
                            <a:ea typeface="+mn-ea"/>
                            <a:cs typeface="+mn-cs"/>
                          </a:rPr>
                          <m:t>.</m:t>
                        </m:r>
                      </m:e>
                      <m:sub>
                        <m:r>
                          <a:rPr lang="es-MX" sz="1100" i="1">
                            <a:solidFill>
                              <a:schemeClr val="tx1"/>
                            </a:solidFill>
                            <a:effectLst/>
                            <a:latin typeface="Cambria Math"/>
                            <a:ea typeface="+mn-ea"/>
                            <a:cs typeface="+mn-cs"/>
                          </a:rPr>
                          <m:t>𝑑𝑒𝑠</m:t>
                        </m:r>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𝑝𝑟𝑖𝑚𝑒𝑟</m:t>
                        </m:r>
                        <m:r>
                          <a:rPr lang="es-MX" sz="1100" i="1">
                            <a:solidFill>
                              <a:schemeClr val="tx1"/>
                            </a:solidFill>
                            <a:effectLst/>
                            <a:latin typeface="Cambria Math"/>
                            <a:ea typeface="+mn-ea"/>
                            <a:cs typeface="+mn-cs"/>
                          </a:rPr>
                          <m:t> </m:t>
                        </m:r>
                        <m:r>
                          <a:rPr lang="es-MX" sz="1100" i="1">
                            <a:solidFill>
                              <a:schemeClr val="tx1"/>
                            </a:solidFill>
                            <a:effectLst/>
                            <a:latin typeface="Cambria Math"/>
                            <a:ea typeface="+mn-ea"/>
                            <a:cs typeface="+mn-cs"/>
                          </a:rPr>
                          <m:t>𝑟𝑒𝑓𝑢𝑒𝑟𝑧𝑜</m:t>
                        </m:r>
                      </m:sub>
                    </m:sSub>
                    <m:r>
                      <a:rPr lang="es-MX" sz="1100" i="1">
                        <a:solidFill>
                          <a:schemeClr val="tx1"/>
                        </a:solidFill>
                        <a:effectLst/>
                        <a:latin typeface="Cambria Math"/>
                        <a:ea typeface="+mn-ea"/>
                        <a:cs typeface="+mn-cs"/>
                      </a:rPr>
                      <m:t>=</m:t>
                    </m:r>
                    <m:f>
                      <m:fPr>
                        <m:ctrlPr>
                          <a:rPr lang="es-MX" sz="1100" i="1">
                            <a:solidFill>
                              <a:schemeClr val="tx1"/>
                            </a:solidFill>
                            <a:effectLst/>
                            <a:latin typeface="Cambria Math"/>
                            <a:ea typeface="+mn-ea"/>
                            <a:cs typeface="+mn-cs"/>
                          </a:rPr>
                        </m:ctrlPr>
                      </m:fPr>
                      <m:num>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𝛾</m:t>
                            </m:r>
                          </m:e>
                          <m:sub>
                            <m:r>
                              <a:rPr lang="es-MX" sz="1100" i="1">
                                <a:solidFill>
                                  <a:schemeClr val="tx1"/>
                                </a:solidFill>
                                <a:effectLst/>
                                <a:latin typeface="Cambria Math"/>
                                <a:ea typeface="+mn-ea"/>
                                <a:cs typeface="+mn-cs"/>
                              </a:rPr>
                              <m:t>𝑟</m:t>
                            </m:r>
                          </m:sub>
                        </m:sSub>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𝑍</m:t>
                            </m:r>
                          </m:e>
                          <m:sub>
                            <m:r>
                              <a:rPr lang="es-MX" sz="1100" i="1">
                                <a:solidFill>
                                  <a:schemeClr val="tx1"/>
                                </a:solidFill>
                                <a:effectLst/>
                                <a:latin typeface="Cambria Math"/>
                                <a:ea typeface="+mn-ea"/>
                                <a:cs typeface="+mn-cs"/>
                              </a:rPr>
                              <m:t>𝑢𝑙𝑡</m:t>
                            </m:r>
                          </m:sub>
                        </m:sSub>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𝐿</m:t>
                        </m:r>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𝑡𝑎𝑛</m:t>
                        </m:r>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𝐶</m:t>
                            </m:r>
                          </m:e>
                          <m:sub>
                            <m:r>
                              <a:rPr lang="es-MX" sz="1100" i="1">
                                <a:solidFill>
                                  <a:schemeClr val="tx1"/>
                                </a:solidFill>
                                <a:effectLst/>
                                <a:latin typeface="Cambria Math"/>
                                <a:ea typeface="+mn-ea"/>
                                <a:cs typeface="+mn-cs"/>
                              </a:rPr>
                              <m:t>𝑖</m:t>
                            </m:r>
                          </m:sub>
                        </m:sSub>
                      </m:num>
                      <m:den>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𝐹</m:t>
                            </m:r>
                          </m:e>
                          <m:sub>
                            <m:r>
                              <a:rPr lang="es-MX" sz="1100" i="1">
                                <a:solidFill>
                                  <a:schemeClr val="tx1"/>
                                </a:solidFill>
                                <a:effectLst/>
                                <a:latin typeface="Cambria Math"/>
                                <a:ea typeface="+mn-ea"/>
                                <a:cs typeface="+mn-cs"/>
                              </a:rPr>
                              <m:t>𝑎</m:t>
                            </m:r>
                            <m:r>
                              <a:rPr lang="es-MX" sz="1100" i="1">
                                <a:solidFill>
                                  <a:schemeClr val="tx1"/>
                                </a:solidFill>
                                <a:effectLst/>
                                <a:latin typeface="Cambria Math"/>
                                <a:ea typeface="+mn-ea"/>
                                <a:cs typeface="+mn-cs"/>
                              </a:rPr>
                              <m:t>1</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𝐹</m:t>
                            </m:r>
                          </m:e>
                          <m:sub>
                            <m:r>
                              <a:rPr lang="es-MX" sz="1100" i="1">
                                <a:solidFill>
                                  <a:schemeClr val="tx1"/>
                                </a:solidFill>
                                <a:effectLst/>
                                <a:latin typeface="Cambria Math"/>
                                <a:ea typeface="+mn-ea"/>
                                <a:cs typeface="+mn-cs"/>
                              </a:rPr>
                              <m:t>𝑎</m:t>
                            </m:r>
                            <m:r>
                              <a:rPr lang="es-MX" sz="1100" i="1">
                                <a:solidFill>
                                  <a:schemeClr val="tx1"/>
                                </a:solidFill>
                                <a:effectLst/>
                                <a:latin typeface="Cambria Math"/>
                                <a:ea typeface="+mn-ea"/>
                                <a:cs typeface="+mn-cs"/>
                              </a:rPr>
                              <m:t>2</m:t>
                            </m:r>
                          </m:sub>
                        </m:sSub>
                      </m:den>
                    </m:f>
                    <m:r>
                      <a:rPr lang="es-MX" sz="1100" i="1">
                        <a:solidFill>
                          <a:schemeClr val="tx1"/>
                        </a:solidFill>
                        <a:effectLst/>
                        <a:latin typeface="Cambria Math"/>
                        <a:ea typeface="Cambria Math"/>
                        <a:cs typeface="+mn-cs"/>
                      </a:rPr>
                      <m:t>≥</m:t>
                    </m:r>
                    <m:r>
                      <a:rPr lang="es-MX" sz="1100" b="0" i="1">
                        <a:solidFill>
                          <a:schemeClr val="tx1"/>
                        </a:solidFill>
                        <a:effectLst/>
                        <a:latin typeface="Cambria Math"/>
                        <a:ea typeface="Cambria Math"/>
                        <a:cs typeface="+mn-cs"/>
                      </a:rPr>
                      <m:t>1.5</m:t>
                    </m:r>
                  </m:oMath>
                </m:oMathPara>
              </a14:m>
              <a:endParaRPr lang="es-MX" sz="1100" b="0">
                <a:solidFill>
                  <a:schemeClr val="tx1"/>
                </a:solidFill>
                <a:effectLst/>
                <a:latin typeface="+mn-lt"/>
                <a:ea typeface="Cambria Math"/>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MX" sz="1100">
                <a:solidFill>
                  <a:schemeClr val="tx1"/>
                </a:solidFill>
                <a:effectLst/>
                <a:latin typeface="+mn-lt"/>
                <a:ea typeface="+mn-ea"/>
                <a:cs typeface="+mn-cs"/>
              </a:endParaRPr>
            </a:p>
            <a:p>
              <a:r>
                <a:rPr lang="es-MX" sz="1100"/>
                <a:t>|</a:t>
              </a:r>
            </a:p>
          </xdr:txBody>
        </xdr:sp>
      </mc:Choice>
      <mc:Fallback xmlns="">
        <xdr:sp macro="" textlink="">
          <xdr:nvSpPr>
            <xdr:cNvPr id="16" name="15 CuadroTexto"/>
            <xdr:cNvSpPr txBox="1"/>
          </xdr:nvSpPr>
          <xdr:spPr>
            <a:xfrm>
              <a:off x="761998" y="17683162"/>
              <a:ext cx="3524251" cy="4619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1100" i="0">
                  <a:solidFill>
                    <a:schemeClr val="tx1"/>
                  </a:solidFill>
                  <a:effectLst/>
                  <a:latin typeface="Cambria Math"/>
                  <a:ea typeface="+mn-ea"/>
                  <a:cs typeface="+mn-cs"/>
                </a:rPr>
                <a:t>〖𝐹.𝑆.〗_(𝑑𝑒𝑠@𝑝𝑟𝑖𝑚𝑒𝑟 𝑟𝑒𝑓𝑢𝑒𝑟𝑧𝑜)=(𝛾_𝑟 〖∙𝑍〗_𝑢𝑙𝑡∙𝐿∙𝑡𝑎𝑛∅〖∙𝐶〗_𝑖)/(𝐹_𝑎1+𝐹_𝑎2 )</a:t>
              </a:r>
              <a:r>
                <a:rPr lang="es-MX" sz="1100" i="0">
                  <a:solidFill>
                    <a:schemeClr val="tx1"/>
                  </a:solidFill>
                  <a:effectLst/>
                  <a:latin typeface="Cambria Math"/>
                  <a:ea typeface="Cambria Math"/>
                  <a:cs typeface="+mn-cs"/>
                </a:rPr>
                <a:t>≥</a:t>
              </a:r>
              <a:r>
                <a:rPr lang="es-MX" sz="1100" b="0" i="0">
                  <a:solidFill>
                    <a:schemeClr val="tx1"/>
                  </a:solidFill>
                  <a:effectLst/>
                  <a:latin typeface="Cambria Math"/>
                  <a:ea typeface="Cambria Math"/>
                  <a:cs typeface="+mn-cs"/>
                </a:rPr>
                <a:t>1.5</a:t>
              </a:r>
              <a:endParaRPr lang="es-MX" sz="1100" b="0">
                <a:solidFill>
                  <a:schemeClr val="tx1"/>
                </a:solidFill>
                <a:effectLst/>
                <a:latin typeface="+mn-lt"/>
                <a:ea typeface="Cambria Math"/>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MX" sz="1100">
                <a:solidFill>
                  <a:schemeClr val="tx1"/>
                </a:solidFill>
                <a:effectLst/>
                <a:latin typeface="+mn-lt"/>
                <a:ea typeface="+mn-ea"/>
                <a:cs typeface="+mn-cs"/>
              </a:endParaRPr>
            </a:p>
            <a:p>
              <a:r>
                <a:rPr lang="es-MX" sz="1100"/>
                <a:t>|</a:t>
              </a:r>
            </a:p>
          </xdr:txBody>
        </xdr:sp>
      </mc:Fallback>
    </mc:AlternateContent>
    <xdr:clientData/>
  </xdr:oneCellAnchor>
  <xdr:oneCellAnchor>
    <xdr:from>
      <xdr:col>2</xdr:col>
      <xdr:colOff>142873</xdr:colOff>
      <xdr:row>96</xdr:row>
      <xdr:rowOff>138112</xdr:rowOff>
    </xdr:from>
    <xdr:ext cx="3314702" cy="280988"/>
    <mc:AlternateContent xmlns:mc="http://schemas.openxmlformats.org/markup-compatibility/2006" xmlns:a14="http://schemas.microsoft.com/office/drawing/2010/main">
      <mc:Choice Requires="a14">
        <xdr:sp macro="" textlink="">
          <xdr:nvSpPr>
            <xdr:cNvPr id="17" name="16 CuadroTexto"/>
            <xdr:cNvSpPr txBox="1"/>
          </xdr:nvSpPr>
          <xdr:spPr>
            <a:xfrm>
              <a:off x="1666873" y="19626262"/>
              <a:ext cx="3314702"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MX" sz="1100" i="1">
                        <a:solidFill>
                          <a:schemeClr val="tx1"/>
                        </a:solidFill>
                        <a:effectLst/>
                        <a:latin typeface="Cambria Math"/>
                        <a:ea typeface="+mn-ea"/>
                        <a:cs typeface="+mn-cs"/>
                      </a:rPr>
                      <m:t>𝑇𝑚𝑎𝑥</m:t>
                    </m:r>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𝐾</m:t>
                        </m:r>
                      </m:e>
                      <m:sub>
                        <m:r>
                          <a:rPr lang="es-MX" sz="1100" i="1">
                            <a:solidFill>
                              <a:schemeClr val="tx1"/>
                            </a:solidFill>
                            <a:effectLst/>
                            <a:latin typeface="Cambria Math"/>
                            <a:ea typeface="+mn-ea"/>
                            <a:cs typeface="+mn-cs"/>
                          </a:rPr>
                          <m:t>𝑟</m:t>
                        </m:r>
                      </m:sub>
                    </m:sSub>
                    <m:d>
                      <m:dPr>
                        <m:ctrlPr>
                          <a:rPr lang="es-MX" sz="1100" i="1">
                            <a:solidFill>
                              <a:schemeClr val="tx1"/>
                            </a:solidFill>
                            <a:effectLst/>
                            <a:latin typeface="Cambria Math"/>
                            <a:ea typeface="+mn-ea"/>
                            <a:cs typeface="+mn-cs"/>
                          </a:rPr>
                        </m:ctrlPr>
                      </m:dPr>
                      <m:e>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𝛾</m:t>
                            </m:r>
                          </m:e>
                          <m:sub>
                            <m:r>
                              <a:rPr lang="es-MX" sz="1100" i="1">
                                <a:solidFill>
                                  <a:schemeClr val="tx1"/>
                                </a:solidFill>
                                <a:effectLst/>
                                <a:latin typeface="Cambria Math"/>
                                <a:ea typeface="+mn-ea"/>
                                <a:cs typeface="+mn-cs"/>
                              </a:rPr>
                              <m:t>𝑟</m:t>
                            </m:r>
                          </m:sub>
                        </m:sSub>
                        <m:r>
                          <a:rPr lang="es-MX" sz="1100" i="1">
                            <a:solidFill>
                              <a:schemeClr val="tx1"/>
                            </a:solidFill>
                            <a:effectLst/>
                            <a:latin typeface="Cambria Math"/>
                            <a:ea typeface="+mn-ea"/>
                            <a:cs typeface="+mn-cs"/>
                          </a:rPr>
                          <m:t>∙</m:t>
                        </m:r>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𝑍</m:t>
                            </m:r>
                          </m:e>
                          <m:sub>
                            <m:r>
                              <a:rPr lang="es-MX" sz="1100" i="1">
                                <a:solidFill>
                                  <a:schemeClr val="tx1"/>
                                </a:solidFill>
                                <a:effectLst/>
                                <a:latin typeface="Cambria Math"/>
                                <a:ea typeface="+mn-ea"/>
                                <a:cs typeface="+mn-cs"/>
                              </a:rPr>
                              <m:t>𝑖</m:t>
                            </m:r>
                          </m:sub>
                        </m:sSub>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𝑞</m:t>
                        </m:r>
                        <m:r>
                          <a:rPr lang="es-MX" sz="1100" b="0" i="1">
                            <a:solidFill>
                              <a:schemeClr val="tx1"/>
                            </a:solidFill>
                            <a:effectLst/>
                            <a:latin typeface="Cambria Math"/>
                            <a:ea typeface="+mn-ea"/>
                            <a:cs typeface="+mn-cs"/>
                          </a:rPr>
                          <m:t>+∆</m:t>
                        </m:r>
                        <m:sSub>
                          <m:sSubPr>
                            <m:ctrlPr>
                              <a:rPr lang="es-MX" sz="1100" b="0" i="1">
                                <a:solidFill>
                                  <a:schemeClr val="tx1"/>
                                </a:solidFill>
                                <a:effectLst/>
                                <a:latin typeface="Cambria Math"/>
                                <a:ea typeface="+mn-ea"/>
                                <a:cs typeface="+mn-cs"/>
                              </a:rPr>
                            </m:ctrlPr>
                          </m:sSubPr>
                          <m:e>
                            <m:r>
                              <a:rPr lang="es-MX" sz="1100" b="0" i="1">
                                <a:solidFill>
                                  <a:schemeClr val="tx1"/>
                                </a:solidFill>
                                <a:effectLst/>
                                <a:latin typeface="Cambria Math"/>
                                <a:ea typeface="+mn-ea"/>
                                <a:cs typeface="+mn-cs"/>
                              </a:rPr>
                              <m:t>𝜎</m:t>
                            </m:r>
                          </m:e>
                          <m:sub>
                            <m:r>
                              <a:rPr lang="es-MX" sz="1100" b="0" i="1">
                                <a:solidFill>
                                  <a:schemeClr val="tx1"/>
                                </a:solidFill>
                                <a:effectLst/>
                                <a:latin typeface="Cambria Math"/>
                                <a:ea typeface="+mn-ea"/>
                                <a:cs typeface="+mn-cs"/>
                              </a:rPr>
                              <m:t>𝑉𝑚𝑎𝑥</m:t>
                            </m:r>
                          </m:sub>
                        </m:sSub>
                      </m:e>
                    </m:d>
                    <m:r>
                      <a:rPr lang="es-MX" sz="1100" b="0" i="1">
                        <a:solidFill>
                          <a:schemeClr val="tx1"/>
                        </a:solidFill>
                        <a:effectLst/>
                        <a:latin typeface="Cambria Math"/>
                        <a:ea typeface="+mn-ea"/>
                        <a:cs typeface="+mn-cs"/>
                      </a:rPr>
                      <m:t>+</m:t>
                    </m:r>
                    <m:r>
                      <a:rPr lang="es-MX" sz="1100" b="0" i="1">
                        <a:solidFill>
                          <a:schemeClr val="tx1"/>
                        </a:solidFill>
                        <a:effectLst/>
                        <a:latin typeface="Cambria Math"/>
                        <a:ea typeface="Cambria Math"/>
                        <a:cs typeface="+mn-cs"/>
                      </a:rPr>
                      <m:t>∆</m:t>
                    </m:r>
                    <m:sSub>
                      <m:sSubPr>
                        <m:ctrlPr>
                          <a:rPr lang="es-MX" sz="1100" b="0" i="1">
                            <a:solidFill>
                              <a:schemeClr val="tx1"/>
                            </a:solidFill>
                            <a:effectLst/>
                            <a:latin typeface="Cambria Math"/>
                            <a:ea typeface="Cambria Math"/>
                            <a:cs typeface="+mn-cs"/>
                          </a:rPr>
                        </m:ctrlPr>
                      </m:sSubPr>
                      <m:e>
                        <m:r>
                          <a:rPr lang="es-MX" sz="1100" b="0" i="1">
                            <a:solidFill>
                              <a:schemeClr val="tx1"/>
                            </a:solidFill>
                            <a:effectLst/>
                            <a:latin typeface="Cambria Math"/>
                            <a:ea typeface="Cambria Math"/>
                            <a:cs typeface="+mn-cs"/>
                          </a:rPr>
                          <m:t>𝜎</m:t>
                        </m:r>
                      </m:e>
                      <m:sub>
                        <m:sSub>
                          <m:sSubPr>
                            <m:ctrlPr>
                              <a:rPr lang="es-MX" sz="1100" b="0" i="1">
                                <a:solidFill>
                                  <a:schemeClr val="tx1"/>
                                </a:solidFill>
                                <a:effectLst/>
                                <a:latin typeface="Cambria Math"/>
                                <a:ea typeface="Cambria Math"/>
                                <a:cs typeface="+mn-cs"/>
                              </a:rPr>
                            </m:ctrlPr>
                          </m:sSubPr>
                          <m:e>
                            <m:r>
                              <a:rPr lang="es-MX" sz="1100" b="0" i="1">
                                <a:solidFill>
                                  <a:schemeClr val="tx1"/>
                                </a:solidFill>
                                <a:effectLst/>
                                <a:latin typeface="Cambria Math"/>
                                <a:ea typeface="Cambria Math"/>
                                <a:cs typeface="+mn-cs"/>
                              </a:rPr>
                              <m:t>𝐻</m:t>
                            </m:r>
                          </m:e>
                          <m:sub>
                            <m:r>
                              <a:rPr lang="es-MX" sz="1100" b="0" i="1">
                                <a:solidFill>
                                  <a:schemeClr val="tx1"/>
                                </a:solidFill>
                                <a:effectLst/>
                                <a:latin typeface="Cambria Math"/>
                                <a:ea typeface="Cambria Math"/>
                                <a:cs typeface="+mn-cs"/>
                              </a:rPr>
                              <m:t>𝑚𝑎𝑥</m:t>
                            </m:r>
                          </m:sub>
                        </m:sSub>
                      </m:sub>
                    </m:sSub>
                    <m:r>
                      <a:rPr lang="es-MX" sz="1100" i="1">
                        <a:solidFill>
                          <a:schemeClr val="tx1"/>
                        </a:solidFill>
                        <a:effectLst/>
                        <a:latin typeface="Cambria Math"/>
                        <a:ea typeface="+mn-ea"/>
                        <a:cs typeface="+mn-cs"/>
                      </a:rPr>
                      <m:t>∙</m:t>
                    </m:r>
                    <m:r>
                      <a:rPr lang="es-MX" sz="1100" i="1">
                        <a:solidFill>
                          <a:schemeClr val="tx1"/>
                        </a:solidFill>
                        <a:effectLst/>
                        <a:latin typeface="Cambria Math"/>
                        <a:ea typeface="+mn-ea"/>
                        <a:cs typeface="+mn-cs"/>
                      </a:rPr>
                      <m:t>𝑆𝑣</m:t>
                    </m:r>
                  </m:oMath>
                </m:oMathPara>
              </a14:m>
              <a:endParaRPr lang="es-MX" sz="1100">
                <a:solidFill>
                  <a:schemeClr val="tx1"/>
                </a:solidFill>
                <a:effectLst/>
                <a:latin typeface="+mn-lt"/>
                <a:ea typeface="+mn-ea"/>
                <a:cs typeface="+mn-cs"/>
              </a:endParaRPr>
            </a:p>
            <a:p>
              <a:endParaRPr lang="es-MX" sz="1100"/>
            </a:p>
          </xdr:txBody>
        </xdr:sp>
      </mc:Choice>
      <mc:Fallback xmlns="">
        <xdr:sp macro="" textlink="">
          <xdr:nvSpPr>
            <xdr:cNvPr id="17" name="16 CuadroTexto"/>
            <xdr:cNvSpPr txBox="1"/>
          </xdr:nvSpPr>
          <xdr:spPr>
            <a:xfrm>
              <a:off x="1666873" y="19626262"/>
              <a:ext cx="3314702"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1100" i="0">
                  <a:solidFill>
                    <a:schemeClr val="tx1"/>
                  </a:solidFill>
                  <a:effectLst/>
                  <a:latin typeface="Cambria Math"/>
                  <a:ea typeface="+mn-ea"/>
                  <a:cs typeface="+mn-cs"/>
                </a:rPr>
                <a:t>𝑇𝑚𝑎𝑥=𝐾_𝑟 (𝛾_𝑟∙𝑍_𝑖+𝑞</a:t>
              </a:r>
              <a:r>
                <a:rPr lang="es-MX" sz="1100" b="0" i="0">
                  <a:solidFill>
                    <a:schemeClr val="tx1"/>
                  </a:solidFill>
                  <a:effectLst/>
                  <a:latin typeface="Cambria Math"/>
                  <a:ea typeface="+mn-ea"/>
                  <a:cs typeface="+mn-cs"/>
                </a:rPr>
                <a:t>+</a:t>
              </a:r>
              <a:r>
                <a:rPr lang="es-MX" sz="1100" b="0" i="0">
                  <a:solidFill>
                    <a:schemeClr val="tx1"/>
                  </a:solidFill>
                  <a:effectLst/>
                  <a:latin typeface="+mn-lt"/>
                  <a:ea typeface="+mn-ea"/>
                  <a:cs typeface="+mn-cs"/>
                </a:rPr>
                <a:t>∆𝜎_𝑉𝑚𝑎𝑥</a:t>
              </a:r>
              <a:r>
                <a:rPr lang="es-MX" sz="1100" b="0" i="0">
                  <a:solidFill>
                    <a:schemeClr val="tx1"/>
                  </a:solidFill>
                  <a:effectLst/>
                  <a:latin typeface="Cambria Math"/>
                  <a:ea typeface="+mn-ea"/>
                  <a:cs typeface="+mn-cs"/>
                </a:rPr>
                <a:t> )+</a:t>
              </a:r>
              <a:r>
                <a:rPr lang="es-MX" sz="1100" b="0" i="0">
                  <a:solidFill>
                    <a:schemeClr val="tx1"/>
                  </a:solidFill>
                  <a:effectLst/>
                  <a:latin typeface="Cambria Math"/>
                  <a:ea typeface="Cambria Math"/>
                  <a:cs typeface="+mn-cs"/>
                </a:rPr>
                <a:t>∆𝜎_(𝐻_𝑚𝑎𝑥 )</a:t>
              </a:r>
              <a:r>
                <a:rPr lang="es-MX" sz="1100" i="0">
                  <a:solidFill>
                    <a:schemeClr val="tx1"/>
                  </a:solidFill>
                  <a:effectLst/>
                  <a:latin typeface="Cambria Math"/>
                  <a:ea typeface="+mn-ea"/>
                  <a:cs typeface="+mn-cs"/>
                </a:rPr>
                <a:t>∙𝑆𝑣</a:t>
              </a:r>
              <a:endParaRPr lang="es-MX" sz="1100">
                <a:solidFill>
                  <a:schemeClr val="tx1"/>
                </a:solidFill>
                <a:effectLst/>
                <a:latin typeface="+mn-lt"/>
                <a:ea typeface="+mn-ea"/>
                <a:cs typeface="+mn-cs"/>
              </a:endParaRPr>
            </a:p>
            <a:p>
              <a:endParaRPr lang="es-MX" sz="1100"/>
            </a:p>
          </xdr:txBody>
        </xdr:sp>
      </mc:Fallback>
    </mc:AlternateContent>
    <xdr:clientData/>
  </xdr:oneCellAnchor>
  <xdr:oneCellAnchor>
    <xdr:from>
      <xdr:col>2</xdr:col>
      <xdr:colOff>231319</xdr:colOff>
      <xdr:row>52</xdr:row>
      <xdr:rowOff>68035</xdr:rowOff>
    </xdr:from>
    <xdr:ext cx="1790701" cy="381258"/>
    <mc:AlternateContent xmlns:mc="http://schemas.openxmlformats.org/markup-compatibility/2006" xmlns:a14="http://schemas.microsoft.com/office/drawing/2010/main">
      <mc:Choice Requires="a14">
        <xdr:sp macro="" textlink="">
          <xdr:nvSpPr>
            <xdr:cNvPr id="18" name="17 CuadroTexto"/>
            <xdr:cNvSpPr txBox="1"/>
          </xdr:nvSpPr>
          <xdr:spPr>
            <a:xfrm>
              <a:off x="1755319" y="10763249"/>
              <a:ext cx="1790701" cy="381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𝐾</m:t>
                        </m:r>
                      </m:e>
                      <m:sub>
                        <m:r>
                          <a:rPr lang="es-MX" sz="1100" i="1">
                            <a:solidFill>
                              <a:schemeClr val="tx1"/>
                            </a:solidFill>
                            <a:effectLst/>
                            <a:latin typeface="Cambria Math"/>
                            <a:ea typeface="+mn-ea"/>
                            <a:cs typeface="+mn-cs"/>
                          </a:rPr>
                          <m:t>𝑎</m:t>
                        </m:r>
                        <m:r>
                          <a:rPr lang="es-MX" sz="1100" b="0" i="1">
                            <a:solidFill>
                              <a:schemeClr val="tx1"/>
                            </a:solidFill>
                            <a:effectLst/>
                            <a:latin typeface="Cambria Math"/>
                            <a:ea typeface="+mn-ea"/>
                            <a:cs typeface="+mn-cs"/>
                          </a:rPr>
                          <m:t>𝑟</m:t>
                        </m:r>
                      </m:sub>
                    </m:sSub>
                    <m:r>
                      <a:rPr lang="es-MX" sz="1100" i="1">
                        <a:solidFill>
                          <a:schemeClr val="tx1"/>
                        </a:solidFill>
                        <a:effectLst/>
                        <a:latin typeface="Cambria Math"/>
                        <a:ea typeface="+mn-ea"/>
                        <a:cs typeface="+mn-cs"/>
                      </a:rPr>
                      <m:t>=</m:t>
                    </m:r>
                    <m:sSup>
                      <m:sSupPr>
                        <m:ctrlPr>
                          <a:rPr lang="es-MX" sz="1100" i="1">
                            <a:solidFill>
                              <a:schemeClr val="tx1"/>
                            </a:solidFill>
                            <a:effectLst/>
                            <a:latin typeface="Cambria Math"/>
                            <a:ea typeface="+mn-ea"/>
                            <a:cs typeface="+mn-cs"/>
                          </a:rPr>
                        </m:ctrlPr>
                      </m:sSupPr>
                      <m:e>
                        <m:r>
                          <a:rPr lang="es-MX" sz="1100" i="1">
                            <a:solidFill>
                              <a:schemeClr val="tx1"/>
                            </a:solidFill>
                            <a:effectLst/>
                            <a:latin typeface="Cambria Math"/>
                            <a:ea typeface="+mn-ea"/>
                            <a:cs typeface="+mn-cs"/>
                          </a:rPr>
                          <m:t>𝑡𝑎𝑛</m:t>
                        </m:r>
                      </m:e>
                      <m:sup>
                        <m:r>
                          <a:rPr lang="es-MX" sz="1100" i="1">
                            <a:solidFill>
                              <a:schemeClr val="tx1"/>
                            </a:solidFill>
                            <a:effectLst/>
                            <a:latin typeface="Cambria Math"/>
                            <a:ea typeface="+mn-ea"/>
                            <a:cs typeface="+mn-cs"/>
                          </a:rPr>
                          <m:t>2</m:t>
                        </m:r>
                      </m:sup>
                    </m:sSup>
                    <m:d>
                      <m:dPr>
                        <m:ctrlPr>
                          <a:rPr lang="es-MX" sz="1100" i="1">
                            <a:solidFill>
                              <a:schemeClr val="tx1"/>
                            </a:solidFill>
                            <a:effectLst/>
                            <a:latin typeface="Cambria Math"/>
                            <a:ea typeface="+mn-ea"/>
                            <a:cs typeface="+mn-cs"/>
                          </a:rPr>
                        </m:ctrlPr>
                      </m:dPr>
                      <m:e>
                        <m:r>
                          <a:rPr lang="es-MX" sz="1100" i="1">
                            <a:solidFill>
                              <a:schemeClr val="tx1"/>
                            </a:solidFill>
                            <a:effectLst/>
                            <a:latin typeface="Cambria Math"/>
                            <a:ea typeface="+mn-ea"/>
                            <a:cs typeface="+mn-cs"/>
                          </a:rPr>
                          <m:t>45°−</m:t>
                        </m:r>
                        <m:f>
                          <m:fPr>
                            <m:ctrlPr>
                              <a:rPr lang="es-MX" sz="1100" i="1">
                                <a:solidFill>
                                  <a:schemeClr val="tx1"/>
                                </a:solidFill>
                                <a:effectLst/>
                                <a:latin typeface="Cambria Math"/>
                                <a:ea typeface="+mn-ea"/>
                                <a:cs typeface="+mn-cs"/>
                              </a:rPr>
                            </m:ctrlPr>
                          </m:fPr>
                          <m:num>
                            <m:sSub>
                              <m:sSubPr>
                                <m:ctrlPr>
                                  <a:rPr lang="es-MX" sz="1100" i="1">
                                    <a:solidFill>
                                      <a:schemeClr val="tx1"/>
                                    </a:solidFill>
                                    <a:effectLst/>
                                    <a:latin typeface="Cambria Math"/>
                                    <a:ea typeface="+mn-ea"/>
                                    <a:cs typeface="+mn-cs"/>
                                  </a:rPr>
                                </m:ctrlPr>
                              </m:sSubPr>
                              <m:e>
                                <m:r>
                                  <a:rPr lang="es-MX" sz="1100" i="1">
                                    <a:solidFill>
                                      <a:schemeClr val="tx1"/>
                                    </a:solidFill>
                                    <a:effectLst/>
                                    <a:latin typeface="Cambria Math"/>
                                    <a:ea typeface="+mn-ea"/>
                                    <a:cs typeface="+mn-cs"/>
                                  </a:rPr>
                                  <m:t>𝜑</m:t>
                                </m:r>
                              </m:e>
                              <m:sub>
                                <m:r>
                                  <a:rPr lang="es-MX" sz="1100" b="0" i="1">
                                    <a:solidFill>
                                      <a:schemeClr val="tx1"/>
                                    </a:solidFill>
                                    <a:effectLst/>
                                    <a:latin typeface="Cambria Math"/>
                                    <a:ea typeface="+mn-ea"/>
                                    <a:cs typeface="+mn-cs"/>
                                  </a:rPr>
                                  <m:t>𝑟</m:t>
                                </m:r>
                              </m:sub>
                            </m:sSub>
                          </m:num>
                          <m:den>
                            <m:r>
                              <a:rPr lang="es-MX" sz="1100" i="1">
                                <a:solidFill>
                                  <a:schemeClr val="tx1"/>
                                </a:solidFill>
                                <a:effectLst/>
                                <a:latin typeface="Cambria Math"/>
                                <a:ea typeface="+mn-ea"/>
                                <a:cs typeface="+mn-cs"/>
                              </a:rPr>
                              <m:t>2</m:t>
                            </m:r>
                          </m:den>
                        </m:f>
                      </m:e>
                    </m:d>
                  </m:oMath>
                </m:oMathPara>
              </a14:m>
              <a:endParaRPr lang="es-MX" sz="1100"/>
            </a:p>
          </xdr:txBody>
        </xdr:sp>
      </mc:Choice>
      <mc:Fallback xmlns="">
        <xdr:sp macro="" textlink="">
          <xdr:nvSpPr>
            <xdr:cNvPr id="18" name="17 CuadroTexto"/>
            <xdr:cNvSpPr txBox="1"/>
          </xdr:nvSpPr>
          <xdr:spPr>
            <a:xfrm>
              <a:off x="1755319" y="10763249"/>
              <a:ext cx="1790701" cy="381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MX" sz="1100" i="0">
                  <a:solidFill>
                    <a:schemeClr val="tx1"/>
                  </a:solidFill>
                  <a:effectLst/>
                  <a:latin typeface="Cambria Math"/>
                  <a:ea typeface="+mn-ea"/>
                  <a:cs typeface="+mn-cs"/>
                </a:rPr>
                <a:t>𝐾_𝑎</a:t>
              </a:r>
              <a:r>
                <a:rPr lang="es-MX" sz="1100" b="0" i="0">
                  <a:solidFill>
                    <a:schemeClr val="tx1"/>
                  </a:solidFill>
                  <a:effectLst/>
                  <a:latin typeface="Cambria Math"/>
                  <a:ea typeface="+mn-ea"/>
                  <a:cs typeface="+mn-cs"/>
                </a:rPr>
                <a:t>𝑟</a:t>
              </a:r>
              <a:r>
                <a:rPr lang="es-MX" sz="1100" i="0">
                  <a:solidFill>
                    <a:schemeClr val="tx1"/>
                  </a:solidFill>
                  <a:effectLst/>
                  <a:latin typeface="Cambria Math"/>
                  <a:ea typeface="+mn-ea"/>
                  <a:cs typeface="+mn-cs"/>
                </a:rPr>
                <a:t>=〖𝑡𝑎𝑛〗^2 (45°−𝜑_</a:t>
              </a:r>
              <a:r>
                <a:rPr lang="es-MX" sz="1100" b="0" i="0">
                  <a:solidFill>
                    <a:schemeClr val="tx1"/>
                  </a:solidFill>
                  <a:effectLst/>
                  <a:latin typeface="Cambria Math"/>
                  <a:ea typeface="+mn-ea"/>
                  <a:cs typeface="+mn-cs"/>
                </a:rPr>
                <a:t>𝑟/</a:t>
              </a:r>
              <a:r>
                <a:rPr lang="es-MX" sz="1100" i="0">
                  <a:solidFill>
                    <a:schemeClr val="tx1"/>
                  </a:solidFill>
                  <a:effectLst/>
                  <a:latin typeface="Cambria Math"/>
                  <a:ea typeface="+mn-ea"/>
                  <a:cs typeface="+mn-cs"/>
                </a:rPr>
                <a:t>2)</a:t>
              </a:r>
              <a:endParaRPr lang="es-MX" sz="1100"/>
            </a:p>
          </xdr:txBody>
        </xdr:sp>
      </mc:Fallback>
    </mc:AlternateContent>
    <xdr:clientData/>
  </xdr:oneCellAnchor>
  <xdr:twoCellAnchor>
    <xdr:from>
      <xdr:col>15</xdr:col>
      <xdr:colOff>217714</xdr:colOff>
      <xdr:row>2</xdr:row>
      <xdr:rowOff>95249</xdr:rowOff>
    </xdr:from>
    <xdr:to>
      <xdr:col>18</xdr:col>
      <xdr:colOff>206508</xdr:colOff>
      <xdr:row>6</xdr:row>
      <xdr:rowOff>190499</xdr:rowOff>
    </xdr:to>
    <xdr:sp macro="[0]!Regresararevision" textlink="">
      <xdr:nvSpPr>
        <xdr:cNvPr id="20" name="19 CuadroTexto"/>
        <xdr:cNvSpPr txBox="1"/>
      </xdr:nvSpPr>
      <xdr:spPr>
        <a:xfrm>
          <a:off x="11647714" y="476249"/>
          <a:ext cx="2274794" cy="85725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MX" sz="1800" b="1"/>
            <a:t>REGRESAR A HOJA DE REVISION</a:t>
          </a:r>
        </a:p>
      </xdr:txBody>
    </xdr:sp>
    <xdr:clientData/>
  </xdr:twoCellAnchor>
  <xdr:twoCellAnchor>
    <xdr:from>
      <xdr:col>15</xdr:col>
      <xdr:colOff>163285</xdr:colOff>
      <xdr:row>136</xdr:row>
      <xdr:rowOff>163285</xdr:rowOff>
    </xdr:from>
    <xdr:to>
      <xdr:col>18</xdr:col>
      <xdr:colOff>152079</xdr:colOff>
      <xdr:row>141</xdr:row>
      <xdr:rowOff>108858</xdr:rowOff>
    </xdr:to>
    <xdr:sp macro="[0]!Regresararevision" textlink="">
      <xdr:nvSpPr>
        <xdr:cNvPr id="21" name="20 CuadroTexto"/>
        <xdr:cNvSpPr txBox="1"/>
      </xdr:nvSpPr>
      <xdr:spPr>
        <a:xfrm>
          <a:off x="11593285" y="27418392"/>
          <a:ext cx="2274794" cy="898073"/>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MX" sz="1800" b="1"/>
            <a:t>REGRESAR A HOJA DE REVISION</a:t>
          </a:r>
        </a:p>
      </xdr:txBody>
    </xdr:sp>
    <xdr:clientData/>
  </xdr:twoCellAnchor>
  <xdr:twoCellAnchor editAs="oneCell">
    <xdr:from>
      <xdr:col>10</xdr:col>
      <xdr:colOff>149678</xdr:colOff>
      <xdr:row>0</xdr:row>
      <xdr:rowOff>54430</xdr:rowOff>
    </xdr:from>
    <xdr:to>
      <xdr:col>12</xdr:col>
      <xdr:colOff>516712</xdr:colOff>
      <xdr:row>4</xdr:row>
      <xdr:rowOff>122464</xdr:rowOff>
    </xdr:to>
    <xdr:pic>
      <xdr:nvPicPr>
        <xdr:cNvPr id="22" name="21 Imagen"/>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64285" y="54430"/>
          <a:ext cx="1891034" cy="8300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J8:Q23"/>
  <sheetViews>
    <sheetView showGridLines="0" showRowColHeaders="0" view="pageBreakPreview" topLeftCell="D10" zoomScale="85" zoomScaleNormal="70" zoomScaleSheetLayoutView="85" zoomScalePageLayoutView="55" workbookViewId="0">
      <selection activeCell="J17" sqref="J17"/>
    </sheetView>
  </sheetViews>
  <sheetFormatPr baseColWidth="10" defaultRowHeight="18.75" x14ac:dyDescent="0.4"/>
  <cols>
    <col min="1" max="1" width="2.85546875" style="1" customWidth="1"/>
    <col min="2" max="2" width="9.7109375" style="1" customWidth="1"/>
    <col min="3" max="7" width="11.42578125" style="1"/>
    <col min="8" max="8" width="11.140625" style="1" customWidth="1"/>
    <col min="9" max="16384" width="11.42578125" style="1"/>
  </cols>
  <sheetData>
    <row r="8" spans="10:17" ht="18.75" customHeight="1" x14ac:dyDescent="0.4">
      <c r="J8" s="205" t="s">
        <v>285</v>
      </c>
      <c r="K8" s="205"/>
      <c r="L8" s="205"/>
      <c r="M8" s="205"/>
      <c r="N8" s="205"/>
      <c r="O8" s="205"/>
      <c r="P8" s="205"/>
      <c r="Q8" s="205"/>
    </row>
    <row r="9" spans="10:17" x14ac:dyDescent="0.4">
      <c r="J9" s="205" t="s">
        <v>286</v>
      </c>
      <c r="K9" s="205"/>
      <c r="L9" s="205"/>
      <c r="M9" s="205"/>
      <c r="N9" s="205"/>
      <c r="O9" s="205"/>
      <c r="P9" s="205"/>
      <c r="Q9" s="205"/>
    </row>
    <row r="10" spans="10:17" ht="18.75" customHeight="1" x14ac:dyDescent="0.4">
      <c r="J10" s="205" t="s">
        <v>287</v>
      </c>
      <c r="K10" s="205"/>
      <c r="L10" s="205"/>
      <c r="M10" s="205"/>
      <c r="N10" s="205"/>
      <c r="O10" s="205"/>
      <c r="P10" s="205"/>
      <c r="Q10" s="205"/>
    </row>
    <row r="11" spans="10:17" x14ac:dyDescent="0.4">
      <c r="J11" s="205" t="s">
        <v>290</v>
      </c>
      <c r="K11" s="205"/>
      <c r="L11" s="205"/>
      <c r="M11" s="205"/>
      <c r="N11" s="205"/>
      <c r="O11" s="205"/>
      <c r="P11" s="205"/>
      <c r="Q11" s="205"/>
    </row>
    <row r="12" spans="10:17" ht="18.75" customHeight="1" x14ac:dyDescent="0.4">
      <c r="J12" s="205" t="s">
        <v>288</v>
      </c>
      <c r="K12" s="205"/>
      <c r="L12" s="205"/>
      <c r="M12" s="205"/>
      <c r="N12" s="205"/>
      <c r="O12" s="205"/>
      <c r="P12" s="205"/>
      <c r="Q12" s="205"/>
    </row>
    <row r="13" spans="10:17" x14ac:dyDescent="0.4">
      <c r="J13" s="205" t="s">
        <v>289</v>
      </c>
      <c r="K13" s="205"/>
      <c r="L13" s="205"/>
      <c r="M13" s="205"/>
      <c r="N13" s="205"/>
      <c r="O13" s="205"/>
      <c r="P13" s="205"/>
      <c r="Q13" s="205"/>
    </row>
    <row r="14" spans="10:17" x14ac:dyDescent="0.4">
      <c r="J14" s="2"/>
      <c r="K14" s="2"/>
      <c r="L14" s="2"/>
      <c r="M14" s="2"/>
      <c r="N14" s="3"/>
      <c r="O14" s="2"/>
      <c r="P14" s="2"/>
      <c r="Q14" s="2"/>
    </row>
    <row r="15" spans="10:17" x14ac:dyDescent="0.4">
      <c r="J15" s="204" t="s">
        <v>213</v>
      </c>
      <c r="K15" s="204"/>
      <c r="L15" s="204"/>
      <c r="M15" s="204"/>
      <c r="N15" s="204"/>
      <c r="O15" s="204"/>
      <c r="P15" s="204"/>
      <c r="Q15" s="204"/>
    </row>
    <row r="16" spans="10:17" ht="18.75" customHeight="1" x14ac:dyDescent="0.4">
      <c r="J16" s="204"/>
      <c r="K16" s="204"/>
      <c r="L16" s="204"/>
      <c r="M16" s="204"/>
      <c r="N16" s="204"/>
      <c r="O16" s="204"/>
      <c r="P16" s="204"/>
      <c r="Q16" s="204"/>
    </row>
    <row r="18" spans="10:17" ht="18.75" customHeight="1" x14ac:dyDescent="0.4">
      <c r="J18" s="205" t="s">
        <v>11</v>
      </c>
      <c r="K18" s="205"/>
      <c r="L18" s="205"/>
      <c r="M18" s="205"/>
      <c r="N18" s="205"/>
      <c r="O18" s="205"/>
      <c r="P18" s="205"/>
      <c r="Q18" s="205"/>
    </row>
    <row r="19" spans="10:17" ht="19.5" thickBot="1" x14ac:dyDescent="0.45">
      <c r="J19" s="205"/>
      <c r="K19" s="205"/>
      <c r="L19" s="205"/>
      <c r="M19" s="205"/>
      <c r="N19" s="205"/>
      <c r="O19" s="205"/>
      <c r="P19" s="205"/>
      <c r="Q19" s="205"/>
    </row>
    <row r="20" spans="10:17" ht="18.75" customHeight="1" x14ac:dyDescent="0.4">
      <c r="J20" s="195" t="s">
        <v>218</v>
      </c>
      <c r="K20" s="196"/>
      <c r="L20" s="196"/>
      <c r="M20" s="196"/>
      <c r="N20" s="196"/>
      <c r="O20" s="196"/>
      <c r="P20" s="196"/>
      <c r="Q20" s="197"/>
    </row>
    <row r="21" spans="10:17" x14ac:dyDescent="0.4">
      <c r="J21" s="198"/>
      <c r="K21" s="199"/>
      <c r="L21" s="199"/>
      <c r="M21" s="199"/>
      <c r="N21" s="199"/>
      <c r="O21" s="199"/>
      <c r="P21" s="199"/>
      <c r="Q21" s="200"/>
    </row>
    <row r="22" spans="10:17" x14ac:dyDescent="0.4">
      <c r="J22" s="198"/>
      <c r="K22" s="199"/>
      <c r="L22" s="199"/>
      <c r="M22" s="199"/>
      <c r="N22" s="199"/>
      <c r="O22" s="199"/>
      <c r="P22" s="199"/>
      <c r="Q22" s="200"/>
    </row>
    <row r="23" spans="10:17" ht="19.5" thickBot="1" x14ac:dyDescent="0.45">
      <c r="J23" s="201"/>
      <c r="K23" s="202"/>
      <c r="L23" s="202"/>
      <c r="M23" s="202"/>
      <c r="N23" s="202"/>
      <c r="O23" s="202"/>
      <c r="P23" s="202"/>
      <c r="Q23" s="203"/>
    </row>
  </sheetData>
  <mergeCells count="9">
    <mergeCell ref="J20:Q23"/>
    <mergeCell ref="J15:Q16"/>
    <mergeCell ref="J18:Q19"/>
    <mergeCell ref="J8:Q8"/>
    <mergeCell ref="J9:Q9"/>
    <mergeCell ref="J10:Q10"/>
    <mergeCell ref="J11:Q11"/>
    <mergeCell ref="J12:Q12"/>
    <mergeCell ref="J13:Q13"/>
  </mergeCells>
  <pageMargins left="0.7" right="0.7" top="0.75" bottom="0.75" header="0.3" footer="0.3"/>
  <pageSetup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W92"/>
  <sheetViews>
    <sheetView showGridLines="0" topLeftCell="A58" zoomScale="70" zoomScaleNormal="70" zoomScaleSheetLayoutView="70" workbookViewId="0">
      <selection activeCell="E70" sqref="E70"/>
    </sheetView>
  </sheetViews>
  <sheetFormatPr baseColWidth="10" defaultRowHeight="15" x14ac:dyDescent="0.25"/>
  <sheetData>
    <row r="1" spans="1:10" s="5" customFormat="1" x14ac:dyDescent="0.25">
      <c r="D1" s="214" t="s">
        <v>10</v>
      </c>
      <c r="E1" s="214"/>
      <c r="F1" s="214"/>
      <c r="G1" s="214"/>
      <c r="H1" s="214"/>
      <c r="I1" s="214"/>
      <c r="J1" s="214"/>
    </row>
    <row r="2" spans="1:10" s="5" customFormat="1" x14ac:dyDescent="0.25">
      <c r="D2" s="214"/>
      <c r="E2" s="214"/>
      <c r="F2" s="214"/>
      <c r="G2" s="214"/>
      <c r="H2" s="214"/>
      <c r="I2" s="214"/>
      <c r="J2" s="214"/>
    </row>
    <row r="3" spans="1:10" s="5" customFormat="1" x14ac:dyDescent="0.25">
      <c r="D3" s="214" t="s">
        <v>11</v>
      </c>
      <c r="E3" s="214"/>
      <c r="F3" s="214"/>
      <c r="G3" s="214"/>
      <c r="H3" s="214"/>
      <c r="I3" s="214"/>
      <c r="J3" s="214"/>
    </row>
    <row r="4" spans="1:10" s="5" customFormat="1" x14ac:dyDescent="0.25">
      <c r="D4" s="214"/>
      <c r="E4" s="214"/>
      <c r="F4" s="214"/>
      <c r="G4" s="214"/>
      <c r="H4" s="214"/>
      <c r="I4" s="214"/>
      <c r="J4" s="214"/>
    </row>
    <row r="5" spans="1:10" s="5" customFormat="1" x14ac:dyDescent="0.25"/>
    <row r="6" spans="1:10" s="5" customFormat="1" x14ac:dyDescent="0.25"/>
    <row r="7" spans="1:10" s="5" customFormat="1" x14ac:dyDescent="0.25"/>
    <row r="8" spans="1:10" s="5" customFormat="1" x14ac:dyDescent="0.25"/>
    <row r="9" spans="1:10" s="5" customFormat="1" x14ac:dyDescent="0.25"/>
    <row r="11" spans="1:10" s="85" customFormat="1" ht="18.75" x14ac:dyDescent="0.3">
      <c r="A11" s="106" t="s">
        <v>247</v>
      </c>
      <c r="B11" s="84"/>
      <c r="C11" s="84"/>
      <c r="D11" s="84"/>
      <c r="E11" s="84"/>
      <c r="F11" s="84"/>
    </row>
    <row r="12" spans="1:10" s="85" customFormat="1" x14ac:dyDescent="0.25">
      <c r="A12" s="84"/>
      <c r="B12" s="84"/>
      <c r="C12" s="84"/>
      <c r="D12" s="84"/>
      <c r="E12" s="84"/>
      <c r="F12" s="84"/>
    </row>
    <row r="13" spans="1:10" s="85" customFormat="1" ht="15.75" x14ac:dyDescent="0.25">
      <c r="A13" s="88" t="s">
        <v>248</v>
      </c>
      <c r="B13" s="84"/>
      <c r="C13" s="84"/>
      <c r="D13" s="84"/>
      <c r="E13" s="84"/>
      <c r="F13" s="84"/>
    </row>
    <row r="14" spans="1:10" s="85" customFormat="1" x14ac:dyDescent="0.25">
      <c r="A14" s="84"/>
      <c r="B14" s="103" t="s">
        <v>277</v>
      </c>
      <c r="C14" s="84"/>
      <c r="D14" s="84"/>
      <c r="E14" s="84"/>
      <c r="F14" s="84"/>
    </row>
    <row r="15" spans="1:10" s="85" customFormat="1" x14ac:dyDescent="0.25">
      <c r="A15" s="84"/>
      <c r="B15" s="84"/>
    </row>
    <row r="16" spans="1:10" s="85" customFormat="1" x14ac:dyDescent="0.25"/>
    <row r="17" spans="2:12" s="85" customFormat="1" x14ac:dyDescent="0.25"/>
    <row r="18" spans="2:12" s="85" customFormat="1" x14ac:dyDescent="0.25">
      <c r="C18" s="91" t="s">
        <v>192</v>
      </c>
      <c r="D18" s="91" t="s">
        <v>193</v>
      </c>
      <c r="E18" s="90">
        <f>'MC ANALISIS EXTERNO'!D182</f>
        <v>0.46326948523214573</v>
      </c>
      <c r="F18" s="84" t="s">
        <v>7</v>
      </c>
    </row>
    <row r="19" spans="2:12" s="85" customFormat="1" x14ac:dyDescent="0.25">
      <c r="C19" s="91"/>
    </row>
    <row r="20" spans="2:12" s="85" customFormat="1" x14ac:dyDescent="0.25">
      <c r="C20" s="91"/>
      <c r="E20" s="90">
        <f>'MC ANALISIS EXTERNO'!$D$188</f>
        <v>0.71666666666666667</v>
      </c>
      <c r="F20" s="85" t="s">
        <v>7</v>
      </c>
    </row>
    <row r="21" spans="2:12" s="85" customFormat="1" x14ac:dyDescent="0.25">
      <c r="C21" s="91"/>
    </row>
    <row r="22" spans="2:12" s="85" customFormat="1" x14ac:dyDescent="0.25">
      <c r="C22" s="91" t="s">
        <v>194</v>
      </c>
    </row>
    <row r="23" spans="2:12" s="85" customFormat="1" ht="15.75" customHeight="1" x14ac:dyDescent="0.25">
      <c r="D23" s="221" t="str">
        <f>'MC ANALISIS EXTERNO'!F188</f>
        <v>CUMPLE CONDICIÓN DE EXCENTRICIDAD</v>
      </c>
      <c r="E23" s="221"/>
      <c r="F23" s="221"/>
      <c r="G23" s="221"/>
      <c r="H23" s="221"/>
      <c r="I23" s="221"/>
      <c r="J23" s="221"/>
      <c r="K23" s="221"/>
      <c r="L23" s="221"/>
    </row>
    <row r="24" spans="2:12" s="85" customFormat="1" ht="15" customHeight="1" x14ac:dyDescent="0.25">
      <c r="D24" s="221"/>
      <c r="E24" s="221"/>
      <c r="F24" s="221"/>
      <c r="G24" s="221"/>
      <c r="H24" s="221"/>
      <c r="I24" s="221"/>
      <c r="J24" s="221"/>
      <c r="K24" s="221"/>
      <c r="L24" s="221"/>
    </row>
    <row r="25" spans="2:12" s="85" customFormat="1" ht="15.75" customHeight="1" x14ac:dyDescent="0.25">
      <c r="D25" s="221"/>
      <c r="E25" s="221"/>
      <c r="F25" s="221"/>
      <c r="G25" s="221"/>
      <c r="H25" s="221"/>
      <c r="I25" s="221"/>
      <c r="J25" s="221"/>
      <c r="K25" s="221"/>
      <c r="L25" s="221"/>
    </row>
    <row r="26" spans="2:12" s="85" customFormat="1" ht="15.75" x14ac:dyDescent="0.25">
      <c r="D26" s="89"/>
      <c r="E26" s="89"/>
      <c r="F26" s="89"/>
      <c r="G26" s="89"/>
      <c r="H26" s="89"/>
    </row>
    <row r="27" spans="2:12" s="85" customFormat="1" ht="18" x14ac:dyDescent="0.35">
      <c r="B27" s="103" t="s">
        <v>278</v>
      </c>
    </row>
    <row r="28" spans="2:12" s="85" customFormat="1" x14ac:dyDescent="0.25"/>
    <row r="29" spans="2:12" s="85" customFormat="1" x14ac:dyDescent="0.25"/>
    <row r="30" spans="2:12" s="85" customFormat="1" x14ac:dyDescent="0.25"/>
    <row r="31" spans="2:12" s="85" customFormat="1" x14ac:dyDescent="0.25">
      <c r="C31" s="91" t="s">
        <v>197</v>
      </c>
    </row>
    <row r="32" spans="2:12" s="85" customFormat="1" x14ac:dyDescent="0.25">
      <c r="C32" s="91"/>
      <c r="D32" s="91" t="s">
        <v>66</v>
      </c>
      <c r="E32" s="99">
        <f>'MC ANALISIS EXTERNO'!D216</f>
        <v>210.6643402431412</v>
      </c>
      <c r="F32" s="85" t="s">
        <v>8</v>
      </c>
    </row>
    <row r="33" spans="2:12" s="85" customFormat="1" x14ac:dyDescent="0.25">
      <c r="C33" s="91"/>
      <c r="D33" s="91" t="s">
        <v>71</v>
      </c>
      <c r="E33" s="99">
        <f>'MC ANALISIS EXTERNO'!D221</f>
        <v>110.28669045333334</v>
      </c>
      <c r="F33" s="85" t="s">
        <v>8</v>
      </c>
    </row>
    <row r="34" spans="2:12" s="85" customFormat="1" x14ac:dyDescent="0.25">
      <c r="C34" s="91"/>
    </row>
    <row r="35" spans="2:12" s="85" customFormat="1" x14ac:dyDescent="0.25">
      <c r="C35" s="91" t="s">
        <v>61</v>
      </c>
    </row>
    <row r="36" spans="2:12" s="85" customFormat="1" ht="18" x14ac:dyDescent="0.35">
      <c r="C36" s="91"/>
      <c r="D36" s="120" t="s">
        <v>75</v>
      </c>
      <c r="E36" s="107">
        <f>'MC ANALISIS EXTERNO'!D227</f>
        <v>1.9101519809616703</v>
      </c>
    </row>
    <row r="37" spans="2:12" s="85" customFormat="1" x14ac:dyDescent="0.25">
      <c r="C37" s="91"/>
    </row>
    <row r="38" spans="2:12" s="85" customFormat="1" x14ac:dyDescent="0.25">
      <c r="C38" s="91" t="s">
        <v>22</v>
      </c>
    </row>
    <row r="39" spans="2:12" s="85" customFormat="1" ht="15" customHeight="1" x14ac:dyDescent="0.25">
      <c r="D39" s="221" t="str">
        <f>'MC ANALISIS EXTERNO'!F227</f>
        <v>CUMPLE CON EL FACTOR DE SEGURIDAD DE DESLIZAMIENTO</v>
      </c>
      <c r="E39" s="221"/>
      <c r="F39" s="221"/>
      <c r="G39" s="221"/>
      <c r="H39" s="221"/>
      <c r="I39" s="221"/>
      <c r="J39" s="221"/>
      <c r="K39" s="221"/>
      <c r="L39" s="221"/>
    </row>
    <row r="40" spans="2:12" s="85" customFormat="1" ht="15" customHeight="1" x14ac:dyDescent="0.25">
      <c r="D40" s="221"/>
      <c r="E40" s="221"/>
      <c r="F40" s="221"/>
      <c r="G40" s="221"/>
      <c r="H40" s="221"/>
      <c r="I40" s="221"/>
      <c r="J40" s="221"/>
      <c r="K40" s="221"/>
      <c r="L40" s="221"/>
    </row>
    <row r="41" spans="2:12" s="85" customFormat="1" ht="24.75" customHeight="1" x14ac:dyDescent="0.25">
      <c r="D41" s="221"/>
      <c r="E41" s="221"/>
      <c r="F41" s="221"/>
      <c r="G41" s="221"/>
      <c r="H41" s="221"/>
      <c r="I41" s="221"/>
      <c r="J41" s="221"/>
      <c r="K41" s="221"/>
      <c r="L41" s="221"/>
    </row>
    <row r="42" spans="2:12" s="85" customFormat="1" x14ac:dyDescent="0.25"/>
    <row r="43" spans="2:12" s="85" customFormat="1" ht="18" x14ac:dyDescent="0.35">
      <c r="B43" s="103" t="s">
        <v>279</v>
      </c>
    </row>
    <row r="44" spans="2:12" s="85" customFormat="1" x14ac:dyDescent="0.25"/>
    <row r="45" spans="2:12" s="85" customFormat="1" x14ac:dyDescent="0.25"/>
    <row r="46" spans="2:12" s="85" customFormat="1" x14ac:dyDescent="0.25"/>
    <row r="47" spans="2:12" s="85" customFormat="1" x14ac:dyDescent="0.25">
      <c r="C47" s="91" t="s">
        <v>197</v>
      </c>
    </row>
    <row r="48" spans="2:12" s="85" customFormat="1" ht="18" x14ac:dyDescent="0.35">
      <c r="D48" s="91" t="s">
        <v>72</v>
      </c>
      <c r="E48" s="99">
        <f>'MC ANALISIS EXTERNO'!D172</f>
        <v>620.70929999999998</v>
      </c>
      <c r="F48" s="85" t="s">
        <v>59</v>
      </c>
    </row>
    <row r="49" spans="1:12" s="85" customFormat="1" ht="18" x14ac:dyDescent="0.35">
      <c r="D49" s="91" t="s">
        <v>60</v>
      </c>
      <c r="E49" s="99">
        <f>'MC ANALISIS EXTERNO'!D176</f>
        <v>183.54829658794668</v>
      </c>
      <c r="F49" s="85" t="s">
        <v>59</v>
      </c>
    </row>
    <row r="50" spans="1:12" s="85" customFormat="1" x14ac:dyDescent="0.25"/>
    <row r="51" spans="1:12" s="85" customFormat="1" x14ac:dyDescent="0.25">
      <c r="C51" s="85" t="s">
        <v>61</v>
      </c>
    </row>
    <row r="52" spans="1:12" s="85" customFormat="1" ht="18" x14ac:dyDescent="0.35">
      <c r="D52" s="120" t="s">
        <v>74</v>
      </c>
      <c r="E52" s="99">
        <f>'MC ANALISIS EXTERNO'!D235</f>
        <v>3.381721931168066</v>
      </c>
    </row>
    <row r="53" spans="1:12" s="85" customFormat="1" x14ac:dyDescent="0.25"/>
    <row r="54" spans="1:12" s="85" customFormat="1" x14ac:dyDescent="0.25">
      <c r="C54" s="85" t="s">
        <v>22</v>
      </c>
    </row>
    <row r="55" spans="1:12" s="85" customFormat="1" ht="15" customHeight="1" x14ac:dyDescent="0.25">
      <c r="D55" s="221" t="str">
        <f>'MC ANALISIS EXTERNO'!F235</f>
        <v>CUMPLE CON EL FACTOR DE SEGURIDAD POR VOLTEO</v>
      </c>
      <c r="E55" s="221"/>
      <c r="F55" s="221"/>
      <c r="G55" s="221"/>
      <c r="H55" s="221"/>
      <c r="I55" s="221"/>
      <c r="J55" s="221"/>
      <c r="K55" s="221"/>
      <c r="L55" s="221"/>
    </row>
    <row r="56" spans="1:12" s="85" customFormat="1" ht="15" customHeight="1" x14ac:dyDescent="0.25">
      <c r="D56" s="221"/>
      <c r="E56" s="221"/>
      <c r="F56" s="221"/>
      <c r="G56" s="221"/>
      <c r="H56" s="221"/>
      <c r="I56" s="221"/>
      <c r="J56" s="221"/>
      <c r="K56" s="221"/>
      <c r="L56" s="221"/>
    </row>
    <row r="57" spans="1:12" s="85" customFormat="1" ht="15" customHeight="1" x14ac:dyDescent="0.25">
      <c r="D57" s="221"/>
      <c r="E57" s="221"/>
      <c r="F57" s="221"/>
      <c r="G57" s="221"/>
      <c r="H57" s="221"/>
      <c r="I57" s="221"/>
      <c r="J57" s="221"/>
      <c r="K57" s="221"/>
      <c r="L57" s="221"/>
    </row>
    <row r="58" spans="1:12" s="85" customFormat="1" ht="15" customHeight="1" x14ac:dyDescent="0.25">
      <c r="D58" s="221"/>
      <c r="E58" s="221"/>
      <c r="F58" s="221"/>
      <c r="G58" s="221"/>
      <c r="H58" s="221"/>
      <c r="I58" s="221"/>
      <c r="J58" s="221"/>
      <c r="K58" s="221"/>
      <c r="L58" s="221"/>
    </row>
    <row r="59" spans="1:12" s="85" customFormat="1" ht="15" customHeight="1" x14ac:dyDescent="0.25">
      <c r="D59" s="221"/>
      <c r="E59" s="221"/>
      <c r="F59" s="221"/>
      <c r="G59" s="221"/>
      <c r="H59" s="221"/>
      <c r="I59" s="221"/>
      <c r="J59" s="221"/>
      <c r="K59" s="221"/>
      <c r="L59" s="221"/>
    </row>
    <row r="60" spans="1:12" s="85" customFormat="1" ht="15" customHeight="1" x14ac:dyDescent="0.25">
      <c r="D60" s="221"/>
      <c r="E60" s="221"/>
      <c r="F60" s="221"/>
      <c r="G60" s="221"/>
      <c r="H60" s="221"/>
      <c r="I60" s="221"/>
      <c r="J60" s="221"/>
      <c r="K60" s="221"/>
      <c r="L60" s="221"/>
    </row>
    <row r="61" spans="1:12" s="85" customFormat="1" ht="15" customHeight="1" x14ac:dyDescent="0.25">
      <c r="D61" s="221"/>
      <c r="E61" s="221"/>
      <c r="F61" s="221"/>
      <c r="G61" s="221"/>
      <c r="H61" s="221"/>
      <c r="I61" s="221"/>
      <c r="J61" s="221"/>
      <c r="K61" s="221"/>
      <c r="L61" s="221"/>
    </row>
    <row r="62" spans="1:12" s="85" customFormat="1" ht="15" customHeight="1" x14ac:dyDescent="0.25">
      <c r="D62" s="221"/>
      <c r="E62" s="221"/>
      <c r="F62" s="221"/>
      <c r="G62" s="221"/>
      <c r="H62" s="221"/>
      <c r="I62" s="221"/>
      <c r="J62" s="221"/>
      <c r="K62" s="221"/>
      <c r="L62" s="221"/>
    </row>
    <row r="63" spans="1:12" s="85" customFormat="1" x14ac:dyDescent="0.25"/>
    <row r="64" spans="1:12" s="85" customFormat="1" ht="15.75" x14ac:dyDescent="0.25">
      <c r="A64" s="88" t="s">
        <v>249</v>
      </c>
    </row>
    <row r="65" spans="2:12" s="85" customFormat="1" x14ac:dyDescent="0.25">
      <c r="B65" s="103" t="s">
        <v>250</v>
      </c>
    </row>
    <row r="66" spans="2:12" s="85" customFormat="1" x14ac:dyDescent="0.25"/>
    <row r="67" spans="2:12" s="85" customFormat="1" x14ac:dyDescent="0.25"/>
    <row r="68" spans="2:12" s="85" customFormat="1" x14ac:dyDescent="0.25">
      <c r="C68" s="91" t="s">
        <v>63</v>
      </c>
    </row>
    <row r="69" spans="2:12" s="85" customFormat="1" ht="18.75" x14ac:dyDescent="0.35">
      <c r="D69" s="122" t="s">
        <v>198</v>
      </c>
      <c r="E69" s="108">
        <f>'MC ANALISIS INTERNO'!D18</f>
        <v>117.44673987075213</v>
      </c>
      <c r="F69" s="123" t="s">
        <v>116</v>
      </c>
    </row>
    <row r="70" spans="2:12" s="85" customFormat="1" ht="18.75" x14ac:dyDescent="0.35">
      <c r="D70" s="91" t="s">
        <v>88</v>
      </c>
      <c r="E70" s="99">
        <f>'MC ANALISIS INTERNO'!D46</f>
        <v>1207.0244260078684</v>
      </c>
      <c r="F70" s="123" t="s">
        <v>116</v>
      </c>
    </row>
    <row r="71" spans="2:12" s="85" customFormat="1" x14ac:dyDescent="0.25"/>
    <row r="72" spans="2:12" s="85" customFormat="1" x14ac:dyDescent="0.25">
      <c r="C72" s="91" t="s">
        <v>22</v>
      </c>
    </row>
    <row r="73" spans="2:12" s="85" customFormat="1" ht="15" customHeight="1" x14ac:dyDescent="0.25">
      <c r="D73" s="221" t="str">
        <f>'MC ANALISIS INTERNO'!F46</f>
        <v>CUMPLE LA CONDICIÓN DE CARGA ADMISIBLE CON RESPECTO AL ESFUERZO VERTICAL APLICADO</v>
      </c>
      <c r="E73" s="221"/>
      <c r="F73" s="221"/>
      <c r="G73" s="221"/>
      <c r="H73" s="221"/>
      <c r="I73" s="221"/>
      <c r="J73" s="221"/>
      <c r="K73" s="221"/>
      <c r="L73" s="221"/>
    </row>
    <row r="74" spans="2:12" s="85" customFormat="1" ht="15" customHeight="1" x14ac:dyDescent="0.25">
      <c r="D74" s="221"/>
      <c r="E74" s="221"/>
      <c r="F74" s="221"/>
      <c r="G74" s="221"/>
      <c r="H74" s="221"/>
      <c r="I74" s="221"/>
      <c r="J74" s="221"/>
      <c r="K74" s="221"/>
      <c r="L74" s="221"/>
    </row>
    <row r="75" spans="2:12" s="85" customFormat="1" ht="15" customHeight="1" x14ac:dyDescent="0.25">
      <c r="D75" s="221"/>
      <c r="E75" s="221"/>
      <c r="F75" s="221"/>
      <c r="G75" s="221"/>
      <c r="H75" s="221"/>
      <c r="I75" s="221"/>
      <c r="J75" s="221"/>
      <c r="K75" s="221"/>
      <c r="L75" s="221"/>
    </row>
    <row r="76" spans="2:12" s="85" customFormat="1" x14ac:dyDescent="0.25"/>
    <row r="77" spans="2:12" s="85" customFormat="1" x14ac:dyDescent="0.25">
      <c r="B77" s="103" t="s">
        <v>251</v>
      </c>
    </row>
    <row r="78" spans="2:12" s="85" customFormat="1" x14ac:dyDescent="0.25"/>
    <row r="79" spans="2:12" s="85" customFormat="1" x14ac:dyDescent="0.25"/>
    <row r="80" spans="2:12" s="85" customFormat="1" x14ac:dyDescent="0.25"/>
    <row r="81" spans="1:23" s="85" customFormat="1" x14ac:dyDescent="0.25">
      <c r="C81" s="91" t="s">
        <v>63</v>
      </c>
    </row>
    <row r="82" spans="1:23" s="85" customFormat="1" ht="18" x14ac:dyDescent="0.35">
      <c r="D82" s="91" t="s">
        <v>127</v>
      </c>
      <c r="E82" s="99">
        <f>'MC ANALISIS INTERNO'!D92</f>
        <v>1.5106724168319707</v>
      </c>
    </row>
    <row r="83" spans="1:23" s="85" customFormat="1" x14ac:dyDescent="0.25"/>
    <row r="84" spans="1:23" s="85" customFormat="1" x14ac:dyDescent="0.25">
      <c r="C84" s="85" t="s">
        <v>22</v>
      </c>
    </row>
    <row r="85" spans="1:23" s="85" customFormat="1" ht="15" customHeight="1" x14ac:dyDescent="0.25">
      <c r="D85" s="221" t="str">
        <f>'MC ANALISIS INTERNO'!E92</f>
        <v>CUMPLE CON EL FACTOR DE SEGURIDAD DE DESLIZAMIENTO EN EL PRIMER REFUERZO EN LA PRIMERA CAPA DE REFUERZO</v>
      </c>
      <c r="E85" s="221"/>
      <c r="F85" s="221"/>
      <c r="G85" s="221"/>
      <c r="H85" s="221"/>
      <c r="I85" s="221"/>
      <c r="J85" s="221"/>
      <c r="K85" s="221"/>
      <c r="L85" s="221"/>
    </row>
    <row r="86" spans="1:23" s="85" customFormat="1" ht="15" customHeight="1" x14ac:dyDescent="0.25">
      <c r="D86" s="221"/>
      <c r="E86" s="221"/>
      <c r="F86" s="221"/>
      <c r="G86" s="221"/>
      <c r="H86" s="221"/>
      <c r="I86" s="221"/>
      <c r="J86" s="221"/>
      <c r="K86" s="221"/>
      <c r="L86" s="221"/>
    </row>
    <row r="87" spans="1:23" s="85" customFormat="1" x14ac:dyDescent="0.25"/>
    <row r="88" spans="1:23" s="85" customFormat="1" ht="15" customHeight="1" x14ac:dyDescent="0.25">
      <c r="A88" s="128"/>
      <c r="B88" s="128"/>
      <c r="C88" s="128"/>
      <c r="D88" s="128"/>
      <c r="E88" s="128"/>
      <c r="F88" s="128"/>
      <c r="G88" s="128"/>
      <c r="H88" s="128"/>
      <c r="I88" s="128"/>
      <c r="J88" s="128"/>
      <c r="K88" s="128"/>
      <c r="L88" s="128"/>
      <c r="M88" s="128"/>
      <c r="N88" s="128"/>
      <c r="O88" s="128"/>
      <c r="P88" s="128"/>
      <c r="Q88" s="128"/>
      <c r="R88" s="128"/>
      <c r="S88" s="128"/>
      <c r="T88" s="128"/>
      <c r="U88" s="128"/>
      <c r="V88" s="128"/>
      <c r="W88" s="128"/>
    </row>
    <row r="89" spans="1:23" s="85" customFormat="1" ht="15" customHeight="1" x14ac:dyDescent="0.25">
      <c r="A89" s="128"/>
      <c r="B89" s="128"/>
      <c r="C89" s="128"/>
      <c r="D89" s="128"/>
      <c r="E89" s="128"/>
      <c r="F89" s="128"/>
      <c r="G89" s="128"/>
      <c r="H89" s="128"/>
      <c r="I89" s="128"/>
      <c r="J89" s="128"/>
      <c r="K89" s="128"/>
      <c r="L89" s="128"/>
      <c r="M89" s="128"/>
      <c r="N89" s="128"/>
      <c r="O89" s="128"/>
      <c r="P89" s="128"/>
      <c r="Q89" s="128"/>
      <c r="R89" s="128"/>
      <c r="S89" s="128"/>
      <c r="T89" s="128"/>
      <c r="U89" s="128"/>
      <c r="V89" s="128"/>
      <c r="W89" s="128"/>
    </row>
    <row r="90" spans="1:23" s="85" customFormat="1" ht="15" customHeight="1" x14ac:dyDescent="0.25">
      <c r="A90" s="128"/>
      <c r="B90" s="128"/>
      <c r="C90" s="128"/>
      <c r="D90" s="128"/>
      <c r="E90" s="128"/>
      <c r="F90" s="128"/>
      <c r="G90" s="128"/>
      <c r="H90" s="128"/>
      <c r="I90" s="128"/>
      <c r="J90" s="128"/>
      <c r="K90" s="128"/>
      <c r="L90" s="128"/>
      <c r="M90" s="128"/>
      <c r="N90" s="128"/>
      <c r="O90" s="128"/>
      <c r="P90" s="128"/>
      <c r="Q90" s="128"/>
      <c r="R90" s="128"/>
      <c r="S90" s="128"/>
      <c r="T90" s="128"/>
      <c r="U90" s="128"/>
      <c r="V90" s="128"/>
      <c r="W90" s="128"/>
    </row>
    <row r="91" spans="1:23" s="85" customFormat="1" ht="15" customHeight="1" x14ac:dyDescent="0.25">
      <c r="A91" s="128"/>
      <c r="B91" s="128"/>
      <c r="C91" s="128"/>
      <c r="D91" s="128"/>
      <c r="E91" s="128"/>
      <c r="F91" s="128"/>
      <c r="G91" s="128"/>
      <c r="H91" s="128"/>
      <c r="I91" s="128"/>
      <c r="J91" s="128"/>
      <c r="K91" s="128"/>
      <c r="L91" s="128"/>
      <c r="M91" s="128"/>
      <c r="N91" s="128"/>
      <c r="O91" s="128"/>
      <c r="P91" s="128"/>
      <c r="Q91" s="128"/>
      <c r="R91" s="128"/>
      <c r="S91" s="128"/>
      <c r="T91" s="128"/>
      <c r="U91" s="128"/>
      <c r="V91" s="128"/>
      <c r="W91" s="128"/>
    </row>
    <row r="92" spans="1:23" s="85" customFormat="1" x14ac:dyDescent="0.25"/>
  </sheetData>
  <mergeCells count="7">
    <mergeCell ref="D85:L86"/>
    <mergeCell ref="D1:J2"/>
    <mergeCell ref="D3:J4"/>
    <mergeCell ref="D39:L41"/>
    <mergeCell ref="D23:L25"/>
    <mergeCell ref="D73:L75"/>
    <mergeCell ref="D55:L62"/>
  </mergeCells>
  <pageMargins left="0.7" right="0.7" top="0.75" bottom="0.75" header="0.3" footer="0.3"/>
  <pageSetup scale="52" orientation="portrait" r:id="rId1"/>
  <rowBreaks count="1" manualBreakCount="1">
    <brk id="111" max="1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S137"/>
  <sheetViews>
    <sheetView showGridLines="0" topLeftCell="A7" zoomScale="70" zoomScaleNormal="70" zoomScaleSheetLayoutView="70" workbookViewId="0">
      <selection activeCell="Q33" sqref="Q33"/>
    </sheetView>
  </sheetViews>
  <sheetFormatPr baseColWidth="10" defaultRowHeight="15" x14ac:dyDescent="0.25"/>
  <cols>
    <col min="4" max="4" width="14" customWidth="1"/>
    <col min="9" max="9" width="14.28515625" customWidth="1"/>
    <col min="14" max="14" width="14.7109375" customWidth="1"/>
    <col min="15" max="15" width="11.5703125" customWidth="1"/>
    <col min="16" max="16" width="11.7109375" customWidth="1"/>
  </cols>
  <sheetData>
    <row r="1" spans="1:10" s="5" customFormat="1" x14ac:dyDescent="0.25">
      <c r="D1" s="214" t="s">
        <v>10</v>
      </c>
      <c r="E1" s="214"/>
      <c r="F1" s="214"/>
      <c r="G1" s="214"/>
      <c r="H1" s="214"/>
      <c r="I1" s="214"/>
      <c r="J1" s="214"/>
    </row>
    <row r="2" spans="1:10" s="5" customFormat="1" x14ac:dyDescent="0.25">
      <c r="D2" s="214"/>
      <c r="E2" s="214"/>
      <c r="F2" s="214"/>
      <c r="G2" s="214"/>
      <c r="H2" s="214"/>
      <c r="I2" s="214"/>
      <c r="J2" s="214"/>
    </row>
    <row r="3" spans="1:10" s="5" customFormat="1" x14ac:dyDescent="0.25">
      <c r="D3" s="214" t="s">
        <v>11</v>
      </c>
      <c r="E3" s="214"/>
      <c r="F3" s="214"/>
      <c r="G3" s="214"/>
      <c r="H3" s="214"/>
      <c r="I3" s="214"/>
      <c r="J3" s="214"/>
    </row>
    <row r="4" spans="1:10" s="5" customFormat="1" x14ac:dyDescent="0.25">
      <c r="D4" s="214"/>
      <c r="E4" s="214"/>
      <c r="F4" s="214"/>
      <c r="G4" s="214"/>
      <c r="H4" s="214"/>
      <c r="I4" s="214"/>
      <c r="J4" s="214"/>
    </row>
    <row r="5" spans="1:10" s="5" customFormat="1" x14ac:dyDescent="0.25"/>
    <row r="6" spans="1:10" s="5" customFormat="1" x14ac:dyDescent="0.25"/>
    <row r="7" spans="1:10" s="5" customFormat="1" x14ac:dyDescent="0.25"/>
    <row r="8" spans="1:10" s="5" customFormat="1" x14ac:dyDescent="0.25"/>
    <row r="9" spans="1:10" s="5" customFormat="1" x14ac:dyDescent="0.25"/>
    <row r="11" spans="1:10" ht="23.25" x14ac:dyDescent="0.35">
      <c r="E11" s="217" t="s">
        <v>134</v>
      </c>
      <c r="F11" s="217"/>
      <c r="G11" s="217"/>
      <c r="H11" s="217"/>
      <c r="I11" s="217"/>
      <c r="J11" s="217"/>
    </row>
    <row r="12" spans="1:10" ht="21" x14ac:dyDescent="0.35">
      <c r="E12" s="213" t="s">
        <v>135</v>
      </c>
      <c r="F12" s="213"/>
      <c r="G12" s="213"/>
      <c r="H12" s="213"/>
      <c r="I12" s="213"/>
      <c r="J12" s="213"/>
    </row>
    <row r="14" spans="1:10" ht="18.75" x14ac:dyDescent="0.3">
      <c r="A14" s="8" t="s">
        <v>170</v>
      </c>
    </row>
    <row r="19" spans="1:14" x14ac:dyDescent="0.25">
      <c r="B19" t="s">
        <v>2</v>
      </c>
    </row>
    <row r="20" spans="1:14" x14ac:dyDescent="0.25">
      <c r="B20" s="4" t="s">
        <v>136</v>
      </c>
      <c r="C20" s="133">
        <f>'PROPIEDADES DEL GEOSINTETICO'!B13</f>
        <v>2</v>
      </c>
      <c r="D20" s="85"/>
      <c r="E20" s="85"/>
      <c r="F20" s="85"/>
    </row>
    <row r="21" spans="1:14" ht="18" x14ac:dyDescent="0.35">
      <c r="B21" s="4" t="s">
        <v>137</v>
      </c>
      <c r="C21" s="133">
        <f>'PROPIEDADES DEL GEOSINTETICO'!B15</f>
        <v>0.66</v>
      </c>
      <c r="D21" s="85"/>
      <c r="E21" s="85"/>
      <c r="F21" s="85"/>
    </row>
    <row r="22" spans="1:14" x14ac:dyDescent="0.25">
      <c r="B22" s="4" t="s">
        <v>138</v>
      </c>
      <c r="C22" s="85" t="s">
        <v>139</v>
      </c>
      <c r="D22" s="85"/>
      <c r="E22" s="85"/>
      <c r="F22" s="85"/>
    </row>
    <row r="23" spans="1:14" x14ac:dyDescent="0.25">
      <c r="C23" s="85"/>
      <c r="D23" s="91" t="s">
        <v>140</v>
      </c>
      <c r="E23" s="91" t="s">
        <v>141</v>
      </c>
      <c r="F23" s="133">
        <f>'PROPIEDADES DEL GEOSINTETICO'!D19</f>
        <v>1</v>
      </c>
      <c r="G23" t="s">
        <v>7</v>
      </c>
    </row>
    <row r="24" spans="1:14" x14ac:dyDescent="0.25">
      <c r="C24" s="85"/>
      <c r="D24" s="85"/>
      <c r="E24" s="91" t="s">
        <v>142</v>
      </c>
      <c r="F24" s="133">
        <f>'PROPIEDADES DEL GEOSINTETICO'!D21</f>
        <v>1</v>
      </c>
      <c r="G24" t="s">
        <v>7</v>
      </c>
    </row>
    <row r="25" spans="1:14" x14ac:dyDescent="0.25">
      <c r="B25" s="4" t="s">
        <v>143</v>
      </c>
      <c r="C25" s="85">
        <f>F23/F24</f>
        <v>1</v>
      </c>
      <c r="D25" s="85"/>
      <c r="E25" s="85"/>
      <c r="F25" s="85"/>
    </row>
    <row r="26" spans="1:14" x14ac:dyDescent="0.25">
      <c r="B26" s="31" t="s">
        <v>145</v>
      </c>
      <c r="C26" s="52">
        <f>'PROPIEDADES DEL GEOSINTETICO'!B25</f>
        <v>0.8</v>
      </c>
      <c r="D26" s="123" t="str">
        <f>IF(C26='PROPIEDADES DEL GEOSINTETICO'!B25,"Geomalla","Geotextil")</f>
        <v>Geomalla</v>
      </c>
      <c r="E26" s="85"/>
      <c r="F26" s="85"/>
    </row>
    <row r="27" spans="1:14" ht="15.75" thickBot="1" x14ac:dyDescent="0.3">
      <c r="B27" s="31"/>
    </row>
    <row r="28" spans="1:14" x14ac:dyDescent="0.25">
      <c r="A28" s="55" t="s">
        <v>144</v>
      </c>
      <c r="B28" s="61" t="s">
        <v>131</v>
      </c>
      <c r="C28" s="56" t="s">
        <v>146</v>
      </c>
      <c r="D28" s="63" t="s">
        <v>147</v>
      </c>
      <c r="E28" s="62"/>
      <c r="F28" s="55" t="s">
        <v>144</v>
      </c>
      <c r="G28" s="61" t="s">
        <v>131</v>
      </c>
      <c r="H28" s="56" t="s">
        <v>146</v>
      </c>
      <c r="I28" s="63" t="s">
        <v>147</v>
      </c>
      <c r="J28" s="62"/>
      <c r="K28" s="55" t="s">
        <v>144</v>
      </c>
      <c r="L28" s="61" t="s">
        <v>131</v>
      </c>
      <c r="M28" s="56" t="s">
        <v>146</v>
      </c>
      <c r="N28" s="63" t="s">
        <v>147</v>
      </c>
    </row>
    <row r="29" spans="1:14" x14ac:dyDescent="0.25">
      <c r="A29" s="57">
        <v>1</v>
      </c>
      <c r="B29" s="54">
        <f>'MC ANALISIS INTERNO'!B103</f>
        <v>0.5</v>
      </c>
      <c r="C29" s="54">
        <f>IF(A29&lt;='MC ANALISIS INTERNO'!$F$100,((1.5*'MC ANALISIS INTERNO'!D103))/($C$20*TAN(RADIANS('PROPIEDADES DE LOS SUELOS'!$C$26))*$C$21*'PROPIEDADES DE LOS SUELOS'!$C$24*B29*$C$25*$C$26),"")</f>
        <v>1.549077426802973</v>
      </c>
      <c r="D29" s="64">
        <f>IF(C29&lt;=1,1,C29)</f>
        <v>1.549077426802973</v>
      </c>
      <c r="E29" s="62"/>
      <c r="F29" s="57">
        <v>31</v>
      </c>
      <c r="G29" s="54" t="str">
        <f>'MC ANALISIS INTERNO'!G103</f>
        <v/>
      </c>
      <c r="H29" s="54" t="str">
        <f>IF(F29&lt;='MC ANALISIS INTERNO'!$F$100,((1.5*'MC ANALISIS INTERNO'!H103))/($C$20*TAN(RADIANS('PROPIEDADES DE LOS SUELOS'!$C$26))*$C$21*'PROPIEDADES DE LOS SUELOS'!$C$24*G29*$C$25*$C$26),"")</f>
        <v/>
      </c>
      <c r="I29" s="64" t="str">
        <f>IF(H29&lt;=1,1,H29)</f>
        <v/>
      </c>
      <c r="J29" s="62"/>
      <c r="K29" s="57">
        <v>61</v>
      </c>
      <c r="L29" s="54" t="str">
        <f>'MC ANALISIS INTERNO'!L103</f>
        <v/>
      </c>
      <c r="M29" s="54" t="str">
        <f>IF(K29&lt;='MC ANALISIS INTERNO'!$F$100,((1.5*'MC ANALISIS INTERNO'!L103))/($C$20*TAN(RADIANS('PROPIEDADES DE LOS SUELOS'!$C$26))*$C$21*'PROPIEDADES DE LOS SUELOS'!$C$24*L29*$C$25*$C$26),"")</f>
        <v/>
      </c>
      <c r="N29" s="64" t="str">
        <f>IF(M29&lt;=1,1,M29)</f>
        <v/>
      </c>
    </row>
    <row r="30" spans="1:14" x14ac:dyDescent="0.25">
      <c r="A30" s="57">
        <v>2</v>
      </c>
      <c r="B30" s="54">
        <f>'MC ANALISIS INTERNO'!B104</f>
        <v>1</v>
      </c>
      <c r="C30" s="54">
        <f>IF(A30&lt;='MC ANALISIS INTERNO'!$F$100,((1.5*'MC ANALISIS INTERNO'!D104))/($C$20*TAN(RADIANS('PROPIEDADES DE LOS SUELOS'!$C$26))*$C$21*'PROPIEDADES DE LOS SUELOS'!$C$24*B30*$C$25*$C$26),"")</f>
        <v>0.97956366694893893</v>
      </c>
      <c r="D30" s="64">
        <f t="shared" ref="D30:D58" si="0">IF(C30&lt;=1,1,C30)</f>
        <v>1</v>
      </c>
      <c r="E30" s="62"/>
      <c r="F30" s="57">
        <v>32</v>
      </c>
      <c r="G30" s="54" t="str">
        <f>'MC ANALISIS INTERNO'!G104</f>
        <v/>
      </c>
      <c r="H30" s="54" t="str">
        <f>IF(F30&lt;='MC ANALISIS INTERNO'!$F$100,((1.5*'MC ANALISIS INTERNO'!H104))/($C$20*TAN(RADIANS('PROPIEDADES DE LOS SUELOS'!$C$26))*$C$21*'PROPIEDADES DE LOS SUELOS'!$C$24*G30*$C$25*$C$26),"")</f>
        <v/>
      </c>
      <c r="I30" s="64" t="str">
        <f t="shared" ref="I30:I58" si="1">IF(H30&lt;=1,1,H30)</f>
        <v/>
      </c>
      <c r="J30" s="62"/>
      <c r="K30" s="57">
        <v>62</v>
      </c>
      <c r="L30" s="54" t="str">
        <f>'MC ANALISIS INTERNO'!L104</f>
        <v/>
      </c>
      <c r="M30" s="54" t="str">
        <f>IF(K30&lt;='MC ANALISIS INTERNO'!$F$100,((1.5*'MC ANALISIS INTERNO'!L104))/($C$20*TAN(RADIANS('PROPIEDADES DE LOS SUELOS'!$C$26))*$C$21*'PROPIEDADES DE LOS SUELOS'!$C$24*L30*$C$25*$C$26),"")</f>
        <v/>
      </c>
      <c r="N30" s="64" t="str">
        <f t="shared" ref="N30:N58" si="2">IF(M30&lt;=1,1,M30)</f>
        <v/>
      </c>
    </row>
    <row r="31" spans="1:14" x14ac:dyDescent="0.25">
      <c r="A31" s="57">
        <v>3</v>
      </c>
      <c r="B31" s="54">
        <f>'MC ANALISIS INTERNO'!B105</f>
        <v>1.5</v>
      </c>
      <c r="C31" s="54">
        <f>IF(A31&lt;='MC ANALISIS INTERNO'!$F$100,((1.5*'MC ANALISIS INTERNO'!D105))/($C$20*TAN(RADIANS('PROPIEDADES DE LOS SUELOS'!$C$26))*$C$21*'PROPIEDADES DE LOS SUELOS'!$C$24*B31*$C$25*$C$26),"")</f>
        <v>0.78972574699759424</v>
      </c>
      <c r="D31" s="64">
        <f t="shared" si="0"/>
        <v>1</v>
      </c>
      <c r="E31" s="62"/>
      <c r="F31" s="57">
        <v>33</v>
      </c>
      <c r="G31" s="54" t="str">
        <f>'MC ANALISIS INTERNO'!G105</f>
        <v/>
      </c>
      <c r="H31" s="54" t="str">
        <f>IF(F31&lt;='MC ANALISIS INTERNO'!$F$100,((1.5*'MC ANALISIS INTERNO'!H105))/($C$20*TAN(RADIANS('PROPIEDADES DE LOS SUELOS'!$C$26))*$C$21*'PROPIEDADES DE LOS SUELOS'!$C$24*G31*$C$25*$C$26),"")</f>
        <v/>
      </c>
      <c r="I31" s="64" t="str">
        <f t="shared" si="1"/>
        <v/>
      </c>
      <c r="J31" s="62"/>
      <c r="K31" s="57">
        <v>63</v>
      </c>
      <c r="L31" s="54" t="str">
        <f>'MC ANALISIS INTERNO'!L105</f>
        <v/>
      </c>
      <c r="M31" s="54" t="str">
        <f>IF(K31&lt;='MC ANALISIS INTERNO'!$F$100,((1.5*'MC ANALISIS INTERNO'!L105))/($C$20*TAN(RADIANS('PROPIEDADES DE LOS SUELOS'!$C$26))*$C$21*'PROPIEDADES DE LOS SUELOS'!$C$24*L31*$C$25*$C$26),"")</f>
        <v/>
      </c>
      <c r="N31" s="64" t="str">
        <f t="shared" si="2"/>
        <v/>
      </c>
    </row>
    <row r="32" spans="1:14" x14ac:dyDescent="0.25">
      <c r="A32" s="57">
        <v>4</v>
      </c>
      <c r="B32" s="54">
        <f>'MC ANALISIS INTERNO'!B106</f>
        <v>2</v>
      </c>
      <c r="C32" s="54">
        <f>IF(A32&lt;='MC ANALISIS INTERNO'!$F$100,((1.5*'MC ANALISIS INTERNO'!D106))/($C$20*TAN(RADIANS('PROPIEDADES DE LOS SUELOS'!$C$26))*$C$21*'PROPIEDADES DE LOS SUELOS'!$C$24*B32*$C$25*$C$26),"")</f>
        <v>0.69480678702192178</v>
      </c>
      <c r="D32" s="64">
        <f t="shared" si="0"/>
        <v>1</v>
      </c>
      <c r="E32" s="62"/>
      <c r="F32" s="57">
        <v>34</v>
      </c>
      <c r="G32" s="54" t="str">
        <f>'MC ANALISIS INTERNO'!G106</f>
        <v/>
      </c>
      <c r="H32" s="54" t="str">
        <f>IF(F32&lt;='MC ANALISIS INTERNO'!$F$100,((1.5*'MC ANALISIS INTERNO'!H106))/($C$20*TAN(RADIANS('PROPIEDADES DE LOS SUELOS'!$C$26))*$C$21*'PROPIEDADES DE LOS SUELOS'!$C$24*G32*$C$25*$C$26),"")</f>
        <v/>
      </c>
      <c r="I32" s="64" t="str">
        <f t="shared" si="1"/>
        <v/>
      </c>
      <c r="J32" s="62"/>
      <c r="K32" s="57">
        <v>64</v>
      </c>
      <c r="L32" s="54" t="str">
        <f>'MC ANALISIS INTERNO'!L106</f>
        <v/>
      </c>
      <c r="M32" s="54" t="str">
        <f>IF(K32&lt;='MC ANALISIS INTERNO'!$F$100,((1.5*'MC ANALISIS INTERNO'!L106))/($C$20*TAN(RADIANS('PROPIEDADES DE LOS SUELOS'!$C$26))*$C$21*'PROPIEDADES DE LOS SUELOS'!$C$24*L32*$C$25*$C$26),"")</f>
        <v/>
      </c>
      <c r="N32" s="64" t="str">
        <f t="shared" si="2"/>
        <v/>
      </c>
    </row>
    <row r="33" spans="1:14" x14ac:dyDescent="0.25">
      <c r="A33" s="57">
        <v>5</v>
      </c>
      <c r="B33" s="54">
        <f>'MC ANALISIS INTERNO'!B107</f>
        <v>2.5</v>
      </c>
      <c r="C33" s="54">
        <f>IF(A33&lt;='MC ANALISIS INTERNO'!$F$100,((1.5*'MC ANALISIS INTERNO'!D107))/($C$20*TAN(RADIANS('PROPIEDADES DE LOS SUELOS'!$C$26))*$C$21*'PROPIEDADES DE LOS SUELOS'!$C$24*B33*$C$25*$C$26),"")</f>
        <v>0.63785541103651833</v>
      </c>
      <c r="D33" s="64">
        <f t="shared" si="0"/>
        <v>1</v>
      </c>
      <c r="E33" s="62"/>
      <c r="F33" s="57">
        <v>35</v>
      </c>
      <c r="G33" s="54" t="str">
        <f>'MC ANALISIS INTERNO'!G107</f>
        <v/>
      </c>
      <c r="H33" s="54" t="str">
        <f>IF(F33&lt;='MC ANALISIS INTERNO'!$F$100,((1.5*'MC ANALISIS INTERNO'!H107))/($C$20*TAN(RADIANS('PROPIEDADES DE LOS SUELOS'!$C$26))*$C$21*'PROPIEDADES DE LOS SUELOS'!$C$24*G33*$C$25*$C$26),"")</f>
        <v/>
      </c>
      <c r="I33" s="64" t="str">
        <f t="shared" si="1"/>
        <v/>
      </c>
      <c r="J33" s="62"/>
      <c r="K33" s="57">
        <v>65</v>
      </c>
      <c r="L33" s="54" t="str">
        <f>'MC ANALISIS INTERNO'!L107</f>
        <v/>
      </c>
      <c r="M33" s="54" t="str">
        <f>IF(K33&lt;='MC ANALISIS INTERNO'!$F$100,((1.5*'MC ANALISIS INTERNO'!L107))/($C$20*TAN(RADIANS('PROPIEDADES DE LOS SUELOS'!$C$26))*$C$21*'PROPIEDADES DE LOS SUELOS'!$C$24*L33*$C$25*$C$26),"")</f>
        <v/>
      </c>
      <c r="N33" s="64" t="str">
        <f t="shared" si="2"/>
        <v/>
      </c>
    </row>
    <row r="34" spans="1:14" x14ac:dyDescent="0.25">
      <c r="A34" s="57">
        <v>6</v>
      </c>
      <c r="B34" s="54">
        <f>'MC ANALISIS INTERNO'!B108</f>
        <v>3</v>
      </c>
      <c r="C34" s="54">
        <f>IF(A34&lt;='MC ANALISIS INTERNO'!$F$100,((1.5*'MC ANALISIS INTERNO'!D108))/($C$20*TAN(RADIANS('PROPIEDADES DE LOS SUELOS'!$C$26))*$C$21*'PROPIEDADES DE LOS SUELOS'!$C$24*B34*$C$25*$C$26),"")</f>
        <v>0.59988782704624932</v>
      </c>
      <c r="D34" s="64">
        <f t="shared" si="0"/>
        <v>1</v>
      </c>
      <c r="E34" s="62"/>
      <c r="F34" s="57">
        <v>36</v>
      </c>
      <c r="G34" s="54" t="str">
        <f>'MC ANALISIS INTERNO'!G108</f>
        <v/>
      </c>
      <c r="H34" s="54" t="str">
        <f>IF(F34&lt;='MC ANALISIS INTERNO'!$F$100,((1.5*'MC ANALISIS INTERNO'!H108))/($C$20*TAN(RADIANS('PROPIEDADES DE LOS SUELOS'!$C$26))*$C$21*'PROPIEDADES DE LOS SUELOS'!$C$24*G34*$C$25*$C$26),"")</f>
        <v/>
      </c>
      <c r="I34" s="64" t="str">
        <f t="shared" si="1"/>
        <v/>
      </c>
      <c r="J34" s="62"/>
      <c r="K34" s="57">
        <v>66</v>
      </c>
      <c r="L34" s="54" t="str">
        <f>'MC ANALISIS INTERNO'!L108</f>
        <v/>
      </c>
      <c r="M34" s="54" t="str">
        <f>IF(K34&lt;='MC ANALISIS INTERNO'!$F$100,((1.5*'MC ANALISIS INTERNO'!L108))/($C$20*TAN(RADIANS('PROPIEDADES DE LOS SUELOS'!$C$26))*$C$21*'PROPIEDADES DE LOS SUELOS'!$C$24*L34*$C$25*$C$26),"")</f>
        <v/>
      </c>
      <c r="N34" s="64" t="str">
        <f t="shared" si="2"/>
        <v/>
      </c>
    </row>
    <row r="35" spans="1:14" x14ac:dyDescent="0.25">
      <c r="A35" s="57">
        <v>7</v>
      </c>
      <c r="B35" s="54">
        <f>'MC ANALISIS INTERNO'!B109</f>
        <v>3.5</v>
      </c>
      <c r="C35" s="54">
        <f>IF(A35&lt;='MC ANALISIS INTERNO'!$F$100,((1.5*'MC ANALISIS INTERNO'!D109))/($C$20*TAN(RADIANS('PROPIEDADES DE LOS SUELOS'!$C$26))*$C$21*'PROPIEDADES DE LOS SUELOS'!$C$24*B35*$C$25*$C$26),"")</f>
        <v>0.57276812419605727</v>
      </c>
      <c r="D35" s="64">
        <f t="shared" si="0"/>
        <v>1</v>
      </c>
      <c r="E35" s="62"/>
      <c r="F35" s="57">
        <v>37</v>
      </c>
      <c r="G35" s="54" t="str">
        <f>'MC ANALISIS INTERNO'!G109</f>
        <v/>
      </c>
      <c r="H35" s="54" t="str">
        <f>IF(F35&lt;='MC ANALISIS INTERNO'!$F$100,((1.5*'MC ANALISIS INTERNO'!H109))/($C$20*TAN(RADIANS('PROPIEDADES DE LOS SUELOS'!$C$26))*$C$21*'PROPIEDADES DE LOS SUELOS'!$C$24*G35*$C$25*$C$26),"")</f>
        <v/>
      </c>
      <c r="I35" s="64" t="str">
        <f t="shared" si="1"/>
        <v/>
      </c>
      <c r="J35" s="62"/>
      <c r="K35" s="57">
        <v>67</v>
      </c>
      <c r="L35" s="54" t="str">
        <f>'MC ANALISIS INTERNO'!L109</f>
        <v/>
      </c>
      <c r="M35" s="54" t="str">
        <f>IF(K35&lt;='MC ANALISIS INTERNO'!$F$100,((1.5*'MC ANALISIS INTERNO'!L109))/($C$20*TAN(RADIANS('PROPIEDADES DE LOS SUELOS'!$C$26))*$C$21*'PROPIEDADES DE LOS SUELOS'!$C$24*L35*$C$25*$C$26),"")</f>
        <v/>
      </c>
      <c r="N35" s="64" t="str">
        <f t="shared" si="2"/>
        <v/>
      </c>
    </row>
    <row r="36" spans="1:14" x14ac:dyDescent="0.25">
      <c r="A36" s="57">
        <v>8</v>
      </c>
      <c r="B36" s="54" t="str">
        <f>'MC ANALISIS INTERNO'!B110</f>
        <v/>
      </c>
      <c r="C36" s="54" t="str">
        <f>IF(A36&lt;='MC ANALISIS INTERNO'!$F$100,((1.5*'MC ANALISIS INTERNO'!D110))/($C$20*TAN(RADIANS('PROPIEDADES DE LOS SUELOS'!$C$26))*$C$21*'PROPIEDADES DE LOS SUELOS'!$C$24*B36*$C$25*$C$26),"")</f>
        <v/>
      </c>
      <c r="D36" s="64" t="str">
        <f t="shared" si="0"/>
        <v/>
      </c>
      <c r="E36" s="62"/>
      <c r="F36" s="57">
        <v>38</v>
      </c>
      <c r="G36" s="54" t="str">
        <f>'MC ANALISIS INTERNO'!G110</f>
        <v/>
      </c>
      <c r="H36" s="54" t="str">
        <f>IF(F36&lt;='MC ANALISIS INTERNO'!$F$100,((1.5*'MC ANALISIS INTERNO'!H110))/($C$20*TAN(RADIANS('PROPIEDADES DE LOS SUELOS'!$C$26))*$C$21*'PROPIEDADES DE LOS SUELOS'!$C$24*G36*$C$25*$C$26),"")</f>
        <v/>
      </c>
      <c r="I36" s="64" t="str">
        <f t="shared" si="1"/>
        <v/>
      </c>
      <c r="J36" s="62"/>
      <c r="K36" s="57">
        <v>68</v>
      </c>
      <c r="L36" s="54" t="str">
        <f>'MC ANALISIS INTERNO'!L110</f>
        <v/>
      </c>
      <c r="M36" s="54" t="str">
        <f>IF(K36&lt;='MC ANALISIS INTERNO'!$F$100,((1.5*'MC ANALISIS INTERNO'!L110))/($C$20*TAN(RADIANS('PROPIEDADES DE LOS SUELOS'!$C$26))*$C$21*'PROPIEDADES DE LOS SUELOS'!$C$24*L36*$C$25*$C$26),"")</f>
        <v/>
      </c>
      <c r="N36" s="64" t="str">
        <f t="shared" si="2"/>
        <v/>
      </c>
    </row>
    <row r="37" spans="1:14" x14ac:dyDescent="0.25">
      <c r="A37" s="57">
        <v>9</v>
      </c>
      <c r="B37" s="54" t="str">
        <f>'MC ANALISIS INTERNO'!B111</f>
        <v/>
      </c>
      <c r="C37" s="54" t="str">
        <f>IF(A37&lt;='MC ANALISIS INTERNO'!$F$100,((1.5*'MC ANALISIS INTERNO'!D111))/($C$20*TAN(RADIANS('PROPIEDADES DE LOS SUELOS'!$C$26))*$C$21*'PROPIEDADES DE LOS SUELOS'!$C$24*B37*$C$25*$C$26),"")</f>
        <v/>
      </c>
      <c r="D37" s="64" t="str">
        <f t="shared" si="0"/>
        <v/>
      </c>
      <c r="E37" s="62"/>
      <c r="F37" s="57">
        <v>39</v>
      </c>
      <c r="G37" s="54" t="str">
        <f>'MC ANALISIS INTERNO'!G111</f>
        <v/>
      </c>
      <c r="H37" s="54" t="str">
        <f>IF(F37&lt;='MC ANALISIS INTERNO'!$F$100,((1.5*'MC ANALISIS INTERNO'!H111))/($C$20*TAN(RADIANS('PROPIEDADES DE LOS SUELOS'!$C$26))*$C$21*'PROPIEDADES DE LOS SUELOS'!$C$24*G37*$C$25*$C$26),"")</f>
        <v/>
      </c>
      <c r="I37" s="64" t="str">
        <f t="shared" si="1"/>
        <v/>
      </c>
      <c r="J37" s="62"/>
      <c r="K37" s="57">
        <v>69</v>
      </c>
      <c r="L37" s="54" t="str">
        <f>'MC ANALISIS INTERNO'!L111</f>
        <v/>
      </c>
      <c r="M37" s="54" t="str">
        <f>IF(K37&lt;='MC ANALISIS INTERNO'!$F$100,((1.5*'MC ANALISIS INTERNO'!L111))/($C$20*TAN(RADIANS('PROPIEDADES DE LOS SUELOS'!$C$26))*$C$21*'PROPIEDADES DE LOS SUELOS'!$C$24*L37*$C$25*$C$26),"")</f>
        <v/>
      </c>
      <c r="N37" s="64" t="str">
        <f t="shared" si="2"/>
        <v/>
      </c>
    </row>
    <row r="38" spans="1:14" x14ac:dyDescent="0.25">
      <c r="A38" s="57">
        <v>10</v>
      </c>
      <c r="B38" s="54" t="str">
        <f>'MC ANALISIS INTERNO'!B112</f>
        <v/>
      </c>
      <c r="C38" s="54" t="str">
        <f>IF(A38&lt;='MC ANALISIS INTERNO'!$F$100,((1.5*'MC ANALISIS INTERNO'!D112))/($C$20*TAN(RADIANS('PROPIEDADES DE LOS SUELOS'!$C$26))*$C$21*'PROPIEDADES DE LOS SUELOS'!$C$24*B38*$C$25*$C$26),"")</f>
        <v/>
      </c>
      <c r="D38" s="64" t="str">
        <f t="shared" si="0"/>
        <v/>
      </c>
      <c r="E38" s="62"/>
      <c r="F38" s="57">
        <v>40</v>
      </c>
      <c r="G38" s="54" t="str">
        <f>'MC ANALISIS INTERNO'!G112</f>
        <v/>
      </c>
      <c r="H38" s="54" t="str">
        <f>IF(F38&lt;='MC ANALISIS INTERNO'!$F$100,((1.5*'MC ANALISIS INTERNO'!H112))/($C$20*TAN(RADIANS('PROPIEDADES DE LOS SUELOS'!$C$26))*$C$21*'PROPIEDADES DE LOS SUELOS'!$C$24*G38*$C$25*$C$26),"")</f>
        <v/>
      </c>
      <c r="I38" s="64" t="str">
        <f t="shared" si="1"/>
        <v/>
      </c>
      <c r="J38" s="62"/>
      <c r="K38" s="57">
        <v>70</v>
      </c>
      <c r="L38" s="54" t="str">
        <f>'MC ANALISIS INTERNO'!L112</f>
        <v/>
      </c>
      <c r="M38" s="54" t="str">
        <f>IF(K38&lt;='MC ANALISIS INTERNO'!$F$100,((1.5*'MC ANALISIS INTERNO'!L112))/($C$20*TAN(RADIANS('PROPIEDADES DE LOS SUELOS'!$C$26))*$C$21*'PROPIEDADES DE LOS SUELOS'!$C$24*L38*$C$25*$C$26),"")</f>
        <v/>
      </c>
      <c r="N38" s="64" t="str">
        <f t="shared" si="2"/>
        <v/>
      </c>
    </row>
    <row r="39" spans="1:14" x14ac:dyDescent="0.25">
      <c r="A39" s="57">
        <v>11</v>
      </c>
      <c r="B39" s="54" t="str">
        <f>'MC ANALISIS INTERNO'!B113</f>
        <v/>
      </c>
      <c r="C39" s="54" t="str">
        <f>IF(A39&lt;='MC ANALISIS INTERNO'!$F$100,((1.5*'MC ANALISIS INTERNO'!D113))/($C$20*TAN(RADIANS('PROPIEDADES DE LOS SUELOS'!$C$26))*$C$21*'PROPIEDADES DE LOS SUELOS'!$C$24*B39*$C$25*$C$26),"")</f>
        <v/>
      </c>
      <c r="D39" s="64" t="str">
        <f t="shared" si="0"/>
        <v/>
      </c>
      <c r="E39" s="62"/>
      <c r="F39" s="57">
        <v>41</v>
      </c>
      <c r="G39" s="54" t="str">
        <f>'MC ANALISIS INTERNO'!G113</f>
        <v/>
      </c>
      <c r="H39" s="54" t="str">
        <f>IF(F39&lt;='MC ANALISIS INTERNO'!$F$100,((1.5*'MC ANALISIS INTERNO'!H113))/($C$20*TAN(RADIANS('PROPIEDADES DE LOS SUELOS'!$C$26))*$C$21*'PROPIEDADES DE LOS SUELOS'!$C$24*G39*$C$25*$C$26),"")</f>
        <v/>
      </c>
      <c r="I39" s="64" t="str">
        <f t="shared" si="1"/>
        <v/>
      </c>
      <c r="J39" s="62"/>
      <c r="K39" s="57">
        <v>71</v>
      </c>
      <c r="L39" s="54" t="str">
        <f>'MC ANALISIS INTERNO'!L113</f>
        <v/>
      </c>
      <c r="M39" s="54" t="str">
        <f>IF(K39&lt;='MC ANALISIS INTERNO'!$F$100,((1.5*'MC ANALISIS INTERNO'!L113))/($C$20*TAN(RADIANS('PROPIEDADES DE LOS SUELOS'!$C$26))*$C$21*'PROPIEDADES DE LOS SUELOS'!$C$24*L39*$C$25*$C$26),"")</f>
        <v/>
      </c>
      <c r="N39" s="64" t="str">
        <f t="shared" si="2"/>
        <v/>
      </c>
    </row>
    <row r="40" spans="1:14" x14ac:dyDescent="0.25">
      <c r="A40" s="57">
        <v>12</v>
      </c>
      <c r="B40" s="54" t="str">
        <f>'MC ANALISIS INTERNO'!B114</f>
        <v/>
      </c>
      <c r="C40" s="54" t="str">
        <f>IF(A40&lt;='MC ANALISIS INTERNO'!$F$100,((1.5*'MC ANALISIS INTERNO'!D114))/($C$20*TAN(RADIANS('PROPIEDADES DE LOS SUELOS'!$C$26))*$C$21*'PROPIEDADES DE LOS SUELOS'!$C$24*B40*$C$25*$C$26),"")</f>
        <v/>
      </c>
      <c r="D40" s="64" t="str">
        <f t="shared" si="0"/>
        <v/>
      </c>
      <c r="E40" s="62"/>
      <c r="F40" s="57">
        <v>42</v>
      </c>
      <c r="G40" s="54" t="str">
        <f>'MC ANALISIS INTERNO'!G114</f>
        <v/>
      </c>
      <c r="H40" s="54" t="str">
        <f>IF(F40&lt;='MC ANALISIS INTERNO'!$F$100,((1.5*'MC ANALISIS INTERNO'!H114))/($C$20*TAN(RADIANS('PROPIEDADES DE LOS SUELOS'!$C$26))*$C$21*'PROPIEDADES DE LOS SUELOS'!$C$24*G40*$C$25*$C$26),"")</f>
        <v/>
      </c>
      <c r="I40" s="64" t="str">
        <f t="shared" si="1"/>
        <v/>
      </c>
      <c r="J40" s="62"/>
      <c r="K40" s="57">
        <v>72</v>
      </c>
      <c r="L40" s="54" t="str">
        <f>'MC ANALISIS INTERNO'!L114</f>
        <v/>
      </c>
      <c r="M40" s="54" t="str">
        <f>IF(K40&lt;='MC ANALISIS INTERNO'!$F$100,((1.5*'MC ANALISIS INTERNO'!L114))/($C$20*TAN(RADIANS('PROPIEDADES DE LOS SUELOS'!$C$26))*$C$21*'PROPIEDADES DE LOS SUELOS'!$C$24*L40*$C$25*$C$26),"")</f>
        <v/>
      </c>
      <c r="N40" s="64" t="str">
        <f t="shared" si="2"/>
        <v/>
      </c>
    </row>
    <row r="41" spans="1:14" x14ac:dyDescent="0.25">
      <c r="A41" s="57">
        <v>13</v>
      </c>
      <c r="B41" s="54" t="str">
        <f>'MC ANALISIS INTERNO'!B115</f>
        <v/>
      </c>
      <c r="C41" s="54" t="str">
        <f>IF(A41&lt;='MC ANALISIS INTERNO'!$F$100,((1.5*'MC ANALISIS INTERNO'!D115))/($C$20*TAN(RADIANS('PROPIEDADES DE LOS SUELOS'!$C$26))*$C$21*'PROPIEDADES DE LOS SUELOS'!$C$24*B41*$C$25*$C$26),"")</f>
        <v/>
      </c>
      <c r="D41" s="64" t="str">
        <f t="shared" si="0"/>
        <v/>
      </c>
      <c r="E41" s="62"/>
      <c r="F41" s="57">
        <v>43</v>
      </c>
      <c r="G41" s="54" t="str">
        <f>'MC ANALISIS INTERNO'!G115</f>
        <v/>
      </c>
      <c r="H41" s="54" t="str">
        <f>IF(F41&lt;='MC ANALISIS INTERNO'!$F$100,((1.5*'MC ANALISIS INTERNO'!H115))/($C$20*TAN(RADIANS('PROPIEDADES DE LOS SUELOS'!$C$26))*$C$21*'PROPIEDADES DE LOS SUELOS'!$C$24*G41*$C$25*$C$26),"")</f>
        <v/>
      </c>
      <c r="I41" s="64" t="str">
        <f t="shared" si="1"/>
        <v/>
      </c>
      <c r="J41" s="62"/>
      <c r="K41" s="57">
        <v>73</v>
      </c>
      <c r="L41" s="54" t="str">
        <f>'MC ANALISIS INTERNO'!L115</f>
        <v/>
      </c>
      <c r="M41" s="54" t="str">
        <f>IF(K41&lt;='MC ANALISIS INTERNO'!$F$100,((1.5*'MC ANALISIS INTERNO'!L115))/($C$20*TAN(RADIANS('PROPIEDADES DE LOS SUELOS'!$C$26))*$C$21*'PROPIEDADES DE LOS SUELOS'!$C$24*L41*$C$25*$C$26),"")</f>
        <v/>
      </c>
      <c r="N41" s="64" t="str">
        <f t="shared" si="2"/>
        <v/>
      </c>
    </row>
    <row r="42" spans="1:14" x14ac:dyDescent="0.25">
      <c r="A42" s="57">
        <v>14</v>
      </c>
      <c r="B42" s="54" t="str">
        <f>'MC ANALISIS INTERNO'!B116</f>
        <v/>
      </c>
      <c r="C42" s="54" t="str">
        <f>IF(A42&lt;='MC ANALISIS INTERNO'!$F$100,((1.5*'MC ANALISIS INTERNO'!D116))/($C$20*TAN(RADIANS('PROPIEDADES DE LOS SUELOS'!$C$26))*$C$21*'PROPIEDADES DE LOS SUELOS'!$C$24*B42*$C$25*$C$26),"")</f>
        <v/>
      </c>
      <c r="D42" s="64" t="str">
        <f t="shared" si="0"/>
        <v/>
      </c>
      <c r="E42" s="62"/>
      <c r="F42" s="57">
        <v>44</v>
      </c>
      <c r="G42" s="54" t="str">
        <f>'MC ANALISIS INTERNO'!G116</f>
        <v/>
      </c>
      <c r="H42" s="54" t="str">
        <f>IF(F42&lt;='MC ANALISIS INTERNO'!$F$100,((1.5*'MC ANALISIS INTERNO'!H116))/($C$20*TAN(RADIANS('PROPIEDADES DE LOS SUELOS'!$C$26))*$C$21*'PROPIEDADES DE LOS SUELOS'!$C$24*G42*$C$25*$C$26),"")</f>
        <v/>
      </c>
      <c r="I42" s="64" t="str">
        <f t="shared" si="1"/>
        <v/>
      </c>
      <c r="J42" s="62"/>
      <c r="K42" s="57">
        <v>74</v>
      </c>
      <c r="L42" s="54" t="str">
        <f>'MC ANALISIS INTERNO'!L116</f>
        <v/>
      </c>
      <c r="M42" s="54" t="str">
        <f>IF(K42&lt;='MC ANALISIS INTERNO'!$F$100,((1.5*'MC ANALISIS INTERNO'!L116))/($C$20*TAN(RADIANS('PROPIEDADES DE LOS SUELOS'!$C$26))*$C$21*'PROPIEDADES DE LOS SUELOS'!$C$24*L42*$C$25*$C$26),"")</f>
        <v/>
      </c>
      <c r="N42" s="64" t="str">
        <f t="shared" si="2"/>
        <v/>
      </c>
    </row>
    <row r="43" spans="1:14" x14ac:dyDescent="0.25">
      <c r="A43" s="57">
        <v>15</v>
      </c>
      <c r="B43" s="54" t="str">
        <f>'MC ANALISIS INTERNO'!B117</f>
        <v/>
      </c>
      <c r="C43" s="54" t="str">
        <f>IF(A43&lt;='MC ANALISIS INTERNO'!$F$100,((1.5*'MC ANALISIS INTERNO'!D117))/($C$20*TAN(RADIANS('PROPIEDADES DE LOS SUELOS'!$C$26))*$C$21*'PROPIEDADES DE LOS SUELOS'!$C$24*B43*$C$25*$C$26),"")</f>
        <v/>
      </c>
      <c r="D43" s="64" t="str">
        <f t="shared" si="0"/>
        <v/>
      </c>
      <c r="E43" s="62"/>
      <c r="F43" s="57">
        <v>45</v>
      </c>
      <c r="G43" s="54" t="str">
        <f>'MC ANALISIS INTERNO'!G117</f>
        <v/>
      </c>
      <c r="H43" s="54" t="str">
        <f>IF(F43&lt;='MC ANALISIS INTERNO'!$F$100,((1.5*'MC ANALISIS INTERNO'!H117))/($C$20*TAN(RADIANS('PROPIEDADES DE LOS SUELOS'!$C$26))*$C$21*'PROPIEDADES DE LOS SUELOS'!$C$24*G43*$C$25*$C$26),"")</f>
        <v/>
      </c>
      <c r="I43" s="64" t="str">
        <f t="shared" si="1"/>
        <v/>
      </c>
      <c r="J43" s="62"/>
      <c r="K43" s="57">
        <v>75</v>
      </c>
      <c r="L43" s="54" t="str">
        <f>'MC ANALISIS INTERNO'!L117</f>
        <v/>
      </c>
      <c r="M43" s="54" t="str">
        <f>IF(K43&lt;='MC ANALISIS INTERNO'!$F$100,((1.5*'MC ANALISIS INTERNO'!L117))/($C$20*TAN(RADIANS('PROPIEDADES DE LOS SUELOS'!$C$26))*$C$21*'PROPIEDADES DE LOS SUELOS'!$C$24*L43*$C$25*$C$26),"")</f>
        <v/>
      </c>
      <c r="N43" s="64" t="str">
        <f t="shared" si="2"/>
        <v/>
      </c>
    </row>
    <row r="44" spans="1:14" x14ac:dyDescent="0.25">
      <c r="A44" s="57">
        <v>16</v>
      </c>
      <c r="B44" s="54" t="str">
        <f>'MC ANALISIS INTERNO'!B118</f>
        <v/>
      </c>
      <c r="C44" s="54" t="str">
        <f>IF(A44&lt;='MC ANALISIS INTERNO'!$F$100,((1.5*'MC ANALISIS INTERNO'!D118))/($C$20*TAN(RADIANS('PROPIEDADES DE LOS SUELOS'!$C$26))*$C$21*'PROPIEDADES DE LOS SUELOS'!$C$24*B44*$C$25*$C$26),"")</f>
        <v/>
      </c>
      <c r="D44" s="64" t="str">
        <f t="shared" si="0"/>
        <v/>
      </c>
      <c r="E44" s="62"/>
      <c r="F44" s="57">
        <v>46</v>
      </c>
      <c r="G44" s="54" t="str">
        <f>'MC ANALISIS INTERNO'!G118</f>
        <v/>
      </c>
      <c r="H44" s="54" t="str">
        <f>IF(F44&lt;='MC ANALISIS INTERNO'!$F$100,((1.5*'MC ANALISIS INTERNO'!H118))/($C$20*TAN(RADIANS('PROPIEDADES DE LOS SUELOS'!$C$26))*$C$21*'PROPIEDADES DE LOS SUELOS'!$C$24*G44*$C$25*$C$26),"")</f>
        <v/>
      </c>
      <c r="I44" s="64" t="str">
        <f t="shared" si="1"/>
        <v/>
      </c>
      <c r="J44" s="62"/>
      <c r="K44" s="57">
        <v>76</v>
      </c>
      <c r="L44" s="54" t="str">
        <f>'MC ANALISIS INTERNO'!L118</f>
        <v/>
      </c>
      <c r="M44" s="54" t="str">
        <f>IF(K44&lt;='MC ANALISIS INTERNO'!$F$100,((1.5*'MC ANALISIS INTERNO'!L118))/($C$20*TAN(RADIANS('PROPIEDADES DE LOS SUELOS'!$C$26))*$C$21*'PROPIEDADES DE LOS SUELOS'!$C$24*L44*$C$25*$C$26),"")</f>
        <v/>
      </c>
      <c r="N44" s="64" t="str">
        <f t="shared" si="2"/>
        <v/>
      </c>
    </row>
    <row r="45" spans="1:14" x14ac:dyDescent="0.25">
      <c r="A45" s="57">
        <v>17</v>
      </c>
      <c r="B45" s="54" t="str">
        <f>'MC ANALISIS INTERNO'!B119</f>
        <v/>
      </c>
      <c r="C45" s="54" t="str">
        <f>IF(A45&lt;='MC ANALISIS INTERNO'!$F$100,((1.5*'MC ANALISIS INTERNO'!D119))/($C$20*TAN(RADIANS('PROPIEDADES DE LOS SUELOS'!$C$26))*$C$21*'PROPIEDADES DE LOS SUELOS'!$C$24*B45*$C$25*$C$26),"")</f>
        <v/>
      </c>
      <c r="D45" s="64" t="str">
        <f t="shared" si="0"/>
        <v/>
      </c>
      <c r="E45" s="62"/>
      <c r="F45" s="57">
        <v>47</v>
      </c>
      <c r="G45" s="54" t="str">
        <f>'MC ANALISIS INTERNO'!G119</f>
        <v/>
      </c>
      <c r="H45" s="54" t="str">
        <f>IF(F45&lt;='MC ANALISIS INTERNO'!$F$100,((1.5*'MC ANALISIS INTERNO'!H119))/($C$20*TAN(RADIANS('PROPIEDADES DE LOS SUELOS'!$C$26))*$C$21*'PROPIEDADES DE LOS SUELOS'!$C$24*G45*$C$25*$C$26),"")</f>
        <v/>
      </c>
      <c r="I45" s="64" t="str">
        <f t="shared" si="1"/>
        <v/>
      </c>
      <c r="J45" s="62"/>
      <c r="K45" s="57">
        <v>77</v>
      </c>
      <c r="L45" s="54" t="str">
        <f>'MC ANALISIS INTERNO'!L119</f>
        <v/>
      </c>
      <c r="M45" s="54" t="str">
        <f>IF(K45&lt;='MC ANALISIS INTERNO'!$F$100,((1.5*'MC ANALISIS INTERNO'!L119))/($C$20*TAN(RADIANS('PROPIEDADES DE LOS SUELOS'!$C$26))*$C$21*'PROPIEDADES DE LOS SUELOS'!$C$24*L45*$C$25*$C$26),"")</f>
        <v/>
      </c>
      <c r="N45" s="64" t="str">
        <f t="shared" si="2"/>
        <v/>
      </c>
    </row>
    <row r="46" spans="1:14" x14ac:dyDescent="0.25">
      <c r="A46" s="57">
        <v>18</v>
      </c>
      <c r="B46" s="54" t="str">
        <f>'MC ANALISIS INTERNO'!B120</f>
        <v/>
      </c>
      <c r="C46" s="54" t="str">
        <f>IF(A46&lt;='MC ANALISIS INTERNO'!$F$100,((1.5*'MC ANALISIS INTERNO'!D120))/($C$20*TAN(RADIANS('PROPIEDADES DE LOS SUELOS'!$C$26))*$C$21*'PROPIEDADES DE LOS SUELOS'!$C$24*B46*$C$25*$C$26),"")</f>
        <v/>
      </c>
      <c r="D46" s="64" t="str">
        <f t="shared" si="0"/>
        <v/>
      </c>
      <c r="E46" s="62"/>
      <c r="F46" s="57">
        <v>48</v>
      </c>
      <c r="G46" s="54" t="str">
        <f>'MC ANALISIS INTERNO'!G120</f>
        <v/>
      </c>
      <c r="H46" s="54" t="str">
        <f>IF(F46&lt;='MC ANALISIS INTERNO'!$F$100,((1.5*'MC ANALISIS INTERNO'!H120))/($C$20*TAN(RADIANS('PROPIEDADES DE LOS SUELOS'!$C$26))*$C$21*'PROPIEDADES DE LOS SUELOS'!$C$24*G46*$C$25*$C$26),"")</f>
        <v/>
      </c>
      <c r="I46" s="64" t="str">
        <f t="shared" si="1"/>
        <v/>
      </c>
      <c r="J46" s="62"/>
      <c r="K46" s="57">
        <v>78</v>
      </c>
      <c r="L46" s="54" t="str">
        <f>'MC ANALISIS INTERNO'!L120</f>
        <v/>
      </c>
      <c r="M46" s="54" t="str">
        <f>IF(K46&lt;='MC ANALISIS INTERNO'!$F$100,((1.5*'MC ANALISIS INTERNO'!L120))/($C$20*TAN(RADIANS('PROPIEDADES DE LOS SUELOS'!$C$26))*$C$21*'PROPIEDADES DE LOS SUELOS'!$C$24*L46*$C$25*$C$26),"")</f>
        <v/>
      </c>
      <c r="N46" s="64" t="str">
        <f t="shared" si="2"/>
        <v/>
      </c>
    </row>
    <row r="47" spans="1:14" x14ac:dyDescent="0.25">
      <c r="A47" s="57">
        <v>19</v>
      </c>
      <c r="B47" s="54" t="str">
        <f>'MC ANALISIS INTERNO'!B121</f>
        <v/>
      </c>
      <c r="C47" s="54" t="str">
        <f>IF(A47&lt;='MC ANALISIS INTERNO'!$F$100,((1.5*'MC ANALISIS INTERNO'!D121))/($C$20*TAN(RADIANS('PROPIEDADES DE LOS SUELOS'!$C$26))*$C$21*'PROPIEDADES DE LOS SUELOS'!$C$24*B47*$C$25*$C$26),"")</f>
        <v/>
      </c>
      <c r="D47" s="64" t="str">
        <f t="shared" si="0"/>
        <v/>
      </c>
      <c r="E47" s="62"/>
      <c r="F47" s="57">
        <v>49</v>
      </c>
      <c r="G47" s="54" t="str">
        <f>'MC ANALISIS INTERNO'!G121</f>
        <v/>
      </c>
      <c r="H47" s="54" t="str">
        <f>IF(F47&lt;='MC ANALISIS INTERNO'!$F$100,((1.5*'MC ANALISIS INTERNO'!H121))/($C$20*TAN(RADIANS('PROPIEDADES DE LOS SUELOS'!$C$26))*$C$21*'PROPIEDADES DE LOS SUELOS'!$C$24*G47*$C$25*$C$26),"")</f>
        <v/>
      </c>
      <c r="I47" s="64" t="str">
        <f t="shared" si="1"/>
        <v/>
      </c>
      <c r="J47" s="62"/>
      <c r="K47" s="57">
        <v>79</v>
      </c>
      <c r="L47" s="54" t="str">
        <f>'MC ANALISIS INTERNO'!L121</f>
        <v/>
      </c>
      <c r="M47" s="54" t="str">
        <f>IF(K47&lt;='MC ANALISIS INTERNO'!$F$100,((1.5*'MC ANALISIS INTERNO'!L121))/($C$20*TAN(RADIANS('PROPIEDADES DE LOS SUELOS'!$C$26))*$C$21*'PROPIEDADES DE LOS SUELOS'!$C$24*L47*$C$25*$C$26),"")</f>
        <v/>
      </c>
      <c r="N47" s="64" t="str">
        <f t="shared" si="2"/>
        <v/>
      </c>
    </row>
    <row r="48" spans="1:14" x14ac:dyDescent="0.25">
      <c r="A48" s="57">
        <v>20</v>
      </c>
      <c r="B48" s="54" t="str">
        <f>'MC ANALISIS INTERNO'!B122</f>
        <v/>
      </c>
      <c r="C48" s="54" t="str">
        <f>IF(A48&lt;='MC ANALISIS INTERNO'!$F$100,((1.5*'MC ANALISIS INTERNO'!D122))/($C$20*TAN(RADIANS('PROPIEDADES DE LOS SUELOS'!$C$26))*$C$21*'PROPIEDADES DE LOS SUELOS'!$C$24*B48*$C$25*$C$26),"")</f>
        <v/>
      </c>
      <c r="D48" s="64" t="str">
        <f t="shared" si="0"/>
        <v/>
      </c>
      <c r="E48" s="62"/>
      <c r="F48" s="57">
        <v>50</v>
      </c>
      <c r="G48" s="54" t="str">
        <f>'MC ANALISIS INTERNO'!G122</f>
        <v/>
      </c>
      <c r="H48" s="54" t="str">
        <f>IF(F48&lt;='MC ANALISIS INTERNO'!$F$100,((1.5*'MC ANALISIS INTERNO'!H122))/($C$20*TAN(RADIANS('PROPIEDADES DE LOS SUELOS'!$C$26))*$C$21*'PROPIEDADES DE LOS SUELOS'!$C$24*G48*$C$25*$C$26),"")</f>
        <v/>
      </c>
      <c r="I48" s="64" t="str">
        <f t="shared" si="1"/>
        <v/>
      </c>
      <c r="J48" s="62"/>
      <c r="K48" s="57">
        <v>80</v>
      </c>
      <c r="L48" s="54" t="str">
        <f>'MC ANALISIS INTERNO'!L122</f>
        <v/>
      </c>
      <c r="M48" s="54" t="str">
        <f>IF(K48&lt;='MC ANALISIS INTERNO'!$F$100,((1.5*'MC ANALISIS INTERNO'!L122))/($C$20*TAN(RADIANS('PROPIEDADES DE LOS SUELOS'!$C$26))*$C$21*'PROPIEDADES DE LOS SUELOS'!$C$24*L48*$C$25*$C$26),"")</f>
        <v/>
      </c>
      <c r="N48" s="64" t="str">
        <f t="shared" si="2"/>
        <v/>
      </c>
    </row>
    <row r="49" spans="1:14" x14ac:dyDescent="0.25">
      <c r="A49" s="57">
        <v>21</v>
      </c>
      <c r="B49" s="54" t="str">
        <f>'MC ANALISIS INTERNO'!B123</f>
        <v/>
      </c>
      <c r="C49" s="54" t="str">
        <f>IF(A49&lt;='MC ANALISIS INTERNO'!$F$100,((1.5*'MC ANALISIS INTERNO'!D123))/($C$20*TAN(RADIANS('PROPIEDADES DE LOS SUELOS'!$C$26))*$C$21*'PROPIEDADES DE LOS SUELOS'!$C$24*B49*$C$25*$C$26),"")</f>
        <v/>
      </c>
      <c r="D49" s="64" t="str">
        <f t="shared" si="0"/>
        <v/>
      </c>
      <c r="E49" s="62"/>
      <c r="F49" s="57">
        <v>51</v>
      </c>
      <c r="G49" s="54" t="str">
        <f>'MC ANALISIS INTERNO'!G123</f>
        <v/>
      </c>
      <c r="H49" s="54" t="str">
        <f>IF(F49&lt;='MC ANALISIS INTERNO'!$F$100,((1.5*'MC ANALISIS INTERNO'!H123))/($C$20*TAN(RADIANS('PROPIEDADES DE LOS SUELOS'!$C$26))*$C$21*'PROPIEDADES DE LOS SUELOS'!$C$24*G49*$C$25*$C$26),"")</f>
        <v/>
      </c>
      <c r="I49" s="64" t="str">
        <f t="shared" si="1"/>
        <v/>
      </c>
      <c r="J49" s="62"/>
      <c r="K49" s="57">
        <v>81</v>
      </c>
      <c r="L49" s="54" t="str">
        <f>'MC ANALISIS INTERNO'!L123</f>
        <v/>
      </c>
      <c r="M49" s="54" t="str">
        <f>IF(K49&lt;='MC ANALISIS INTERNO'!$F$100,((1.5*'MC ANALISIS INTERNO'!L123))/($C$20*TAN(RADIANS('PROPIEDADES DE LOS SUELOS'!$C$26))*$C$21*'PROPIEDADES DE LOS SUELOS'!$C$24*L49*$C$25*$C$26),"")</f>
        <v/>
      </c>
      <c r="N49" s="64" t="str">
        <f t="shared" si="2"/>
        <v/>
      </c>
    </row>
    <row r="50" spans="1:14" x14ac:dyDescent="0.25">
      <c r="A50" s="57">
        <v>22</v>
      </c>
      <c r="B50" s="54" t="str">
        <f>'MC ANALISIS INTERNO'!B124</f>
        <v/>
      </c>
      <c r="C50" s="54" t="str">
        <f>IF(A50&lt;='MC ANALISIS INTERNO'!$F$100,((1.5*'MC ANALISIS INTERNO'!D124))/($C$20*TAN(RADIANS('PROPIEDADES DE LOS SUELOS'!$C$26))*$C$21*'PROPIEDADES DE LOS SUELOS'!$C$24*B50*$C$25*$C$26),"")</f>
        <v/>
      </c>
      <c r="D50" s="64" t="str">
        <f t="shared" si="0"/>
        <v/>
      </c>
      <c r="E50" s="62"/>
      <c r="F50" s="57">
        <v>52</v>
      </c>
      <c r="G50" s="54" t="str">
        <f>'MC ANALISIS INTERNO'!G124</f>
        <v/>
      </c>
      <c r="H50" s="54" t="str">
        <f>IF(F50&lt;='MC ANALISIS INTERNO'!$F$100,((1.5*'MC ANALISIS INTERNO'!H124))/($C$20*TAN(RADIANS('PROPIEDADES DE LOS SUELOS'!$C$26))*$C$21*'PROPIEDADES DE LOS SUELOS'!$C$24*G50*$C$25*$C$26),"")</f>
        <v/>
      </c>
      <c r="I50" s="64" t="str">
        <f t="shared" si="1"/>
        <v/>
      </c>
      <c r="J50" s="62"/>
      <c r="K50" s="57">
        <v>82</v>
      </c>
      <c r="L50" s="54" t="str">
        <f>'MC ANALISIS INTERNO'!L124</f>
        <v/>
      </c>
      <c r="M50" s="54" t="str">
        <f>IF(K50&lt;='MC ANALISIS INTERNO'!$F$100,((1.5*'MC ANALISIS INTERNO'!L124))/($C$20*TAN(RADIANS('PROPIEDADES DE LOS SUELOS'!$C$26))*$C$21*'PROPIEDADES DE LOS SUELOS'!$C$24*L50*$C$25*$C$26),"")</f>
        <v/>
      </c>
      <c r="N50" s="64" t="str">
        <f t="shared" si="2"/>
        <v/>
      </c>
    </row>
    <row r="51" spans="1:14" x14ac:dyDescent="0.25">
      <c r="A51" s="57">
        <v>23</v>
      </c>
      <c r="B51" s="54" t="str">
        <f>'MC ANALISIS INTERNO'!B125</f>
        <v/>
      </c>
      <c r="C51" s="54" t="str">
        <f>IF(A51&lt;='MC ANALISIS INTERNO'!$F$100,((1.5*'MC ANALISIS INTERNO'!D125))/($C$20*TAN(RADIANS('PROPIEDADES DE LOS SUELOS'!$C$26))*$C$21*'PROPIEDADES DE LOS SUELOS'!$C$24*B51*$C$25*$C$26),"")</f>
        <v/>
      </c>
      <c r="D51" s="64" t="str">
        <f t="shared" si="0"/>
        <v/>
      </c>
      <c r="E51" s="62"/>
      <c r="F51" s="57">
        <v>53</v>
      </c>
      <c r="G51" s="54" t="str">
        <f>'MC ANALISIS INTERNO'!G125</f>
        <v/>
      </c>
      <c r="H51" s="54" t="str">
        <f>IF(F51&lt;='MC ANALISIS INTERNO'!$F$100,((1.5*'MC ANALISIS INTERNO'!H125))/($C$20*TAN(RADIANS('PROPIEDADES DE LOS SUELOS'!$C$26))*$C$21*'PROPIEDADES DE LOS SUELOS'!$C$24*G51*$C$25*$C$26),"")</f>
        <v/>
      </c>
      <c r="I51" s="64" t="str">
        <f t="shared" si="1"/>
        <v/>
      </c>
      <c r="J51" s="62"/>
      <c r="K51" s="57">
        <v>83</v>
      </c>
      <c r="L51" s="54" t="str">
        <f>'MC ANALISIS INTERNO'!L125</f>
        <v/>
      </c>
      <c r="M51" s="54" t="str">
        <f>IF(K51&lt;='MC ANALISIS INTERNO'!$F$100,((1.5*'MC ANALISIS INTERNO'!L125))/($C$20*TAN(RADIANS('PROPIEDADES DE LOS SUELOS'!$C$26))*$C$21*'PROPIEDADES DE LOS SUELOS'!$C$24*L51*$C$25*$C$26),"")</f>
        <v/>
      </c>
      <c r="N51" s="64" t="str">
        <f t="shared" si="2"/>
        <v/>
      </c>
    </row>
    <row r="52" spans="1:14" x14ac:dyDescent="0.25">
      <c r="A52" s="57">
        <v>24</v>
      </c>
      <c r="B52" s="54" t="str">
        <f>'MC ANALISIS INTERNO'!B126</f>
        <v/>
      </c>
      <c r="C52" s="54" t="str">
        <f>IF(A52&lt;='MC ANALISIS INTERNO'!$F$100,((1.5*'MC ANALISIS INTERNO'!D126))/($C$20*TAN(RADIANS('PROPIEDADES DE LOS SUELOS'!$C$26))*$C$21*'PROPIEDADES DE LOS SUELOS'!$C$24*B52*$C$25*$C$26),"")</f>
        <v/>
      </c>
      <c r="D52" s="64" t="str">
        <f t="shared" si="0"/>
        <v/>
      </c>
      <c r="E52" s="62"/>
      <c r="F52" s="57">
        <v>54</v>
      </c>
      <c r="G52" s="54" t="str">
        <f>'MC ANALISIS INTERNO'!G126</f>
        <v/>
      </c>
      <c r="H52" s="54" t="str">
        <f>IF(F52&lt;='MC ANALISIS INTERNO'!$F$100,((1.5*'MC ANALISIS INTERNO'!H126))/($C$20*TAN(RADIANS('PROPIEDADES DE LOS SUELOS'!$C$26))*$C$21*'PROPIEDADES DE LOS SUELOS'!$C$24*G52*$C$25*$C$26),"")</f>
        <v/>
      </c>
      <c r="I52" s="64" t="str">
        <f t="shared" si="1"/>
        <v/>
      </c>
      <c r="J52" s="62"/>
      <c r="K52" s="57">
        <v>84</v>
      </c>
      <c r="L52" s="54" t="str">
        <f>'MC ANALISIS INTERNO'!L126</f>
        <v/>
      </c>
      <c r="M52" s="54" t="str">
        <f>IF(K52&lt;='MC ANALISIS INTERNO'!$F$100,((1.5*'MC ANALISIS INTERNO'!L126))/($C$20*TAN(RADIANS('PROPIEDADES DE LOS SUELOS'!$C$26))*$C$21*'PROPIEDADES DE LOS SUELOS'!$C$24*L52*$C$25*$C$26),"")</f>
        <v/>
      </c>
      <c r="N52" s="64" t="str">
        <f t="shared" si="2"/>
        <v/>
      </c>
    </row>
    <row r="53" spans="1:14" x14ac:dyDescent="0.25">
      <c r="A53" s="57">
        <v>25</v>
      </c>
      <c r="B53" s="54" t="str">
        <f>'MC ANALISIS INTERNO'!B127</f>
        <v/>
      </c>
      <c r="C53" s="54" t="str">
        <f>IF(A53&lt;='MC ANALISIS INTERNO'!$F$100,((1.5*'MC ANALISIS INTERNO'!D127))/($C$20*TAN(RADIANS('PROPIEDADES DE LOS SUELOS'!$C$26))*$C$21*'PROPIEDADES DE LOS SUELOS'!$C$24*B53*$C$25*$C$26),"")</f>
        <v/>
      </c>
      <c r="D53" s="64" t="str">
        <f t="shared" si="0"/>
        <v/>
      </c>
      <c r="E53" s="62"/>
      <c r="F53" s="57">
        <v>55</v>
      </c>
      <c r="G53" s="54" t="str">
        <f>'MC ANALISIS INTERNO'!G127</f>
        <v/>
      </c>
      <c r="H53" s="54" t="str">
        <f>IF(F53&lt;='MC ANALISIS INTERNO'!$F$100,((1.5*'MC ANALISIS INTERNO'!H127))/($C$20*TAN(RADIANS('PROPIEDADES DE LOS SUELOS'!$C$26))*$C$21*'PROPIEDADES DE LOS SUELOS'!$C$24*G53*$C$25*$C$26),"")</f>
        <v/>
      </c>
      <c r="I53" s="64" t="str">
        <f t="shared" si="1"/>
        <v/>
      </c>
      <c r="J53" s="62"/>
      <c r="K53" s="57">
        <v>85</v>
      </c>
      <c r="L53" s="54" t="str">
        <f>'MC ANALISIS INTERNO'!L127</f>
        <v/>
      </c>
      <c r="M53" s="54" t="str">
        <f>IF(K53&lt;='MC ANALISIS INTERNO'!$F$100,((1.5*'MC ANALISIS INTERNO'!L127))/($C$20*TAN(RADIANS('PROPIEDADES DE LOS SUELOS'!$C$26))*$C$21*'PROPIEDADES DE LOS SUELOS'!$C$24*L53*$C$25*$C$26),"")</f>
        <v/>
      </c>
      <c r="N53" s="64" t="str">
        <f t="shared" si="2"/>
        <v/>
      </c>
    </row>
    <row r="54" spans="1:14" x14ac:dyDescent="0.25">
      <c r="A54" s="57">
        <v>26</v>
      </c>
      <c r="B54" s="54" t="str">
        <f>'MC ANALISIS INTERNO'!B128</f>
        <v/>
      </c>
      <c r="C54" s="54" t="str">
        <f>IF(A54&lt;='MC ANALISIS INTERNO'!$F$100,((1.5*'MC ANALISIS INTERNO'!D128))/($C$20*TAN(RADIANS('PROPIEDADES DE LOS SUELOS'!$C$26))*$C$21*'PROPIEDADES DE LOS SUELOS'!$C$24*B54*$C$25*$C$26),"")</f>
        <v/>
      </c>
      <c r="D54" s="64" t="str">
        <f t="shared" si="0"/>
        <v/>
      </c>
      <c r="E54" s="62"/>
      <c r="F54" s="57">
        <v>56</v>
      </c>
      <c r="G54" s="54" t="str">
        <f>'MC ANALISIS INTERNO'!G128</f>
        <v/>
      </c>
      <c r="H54" s="54" t="str">
        <f>IF(F54&lt;='MC ANALISIS INTERNO'!$F$100,((1.5*'MC ANALISIS INTERNO'!H128))/($C$20*TAN(RADIANS('PROPIEDADES DE LOS SUELOS'!$C$26))*$C$21*'PROPIEDADES DE LOS SUELOS'!$C$24*G54*$C$25*$C$26),"")</f>
        <v/>
      </c>
      <c r="I54" s="64" t="str">
        <f t="shared" si="1"/>
        <v/>
      </c>
      <c r="J54" s="62"/>
      <c r="K54" s="57">
        <v>86</v>
      </c>
      <c r="L54" s="54" t="str">
        <f>'MC ANALISIS INTERNO'!L128</f>
        <v/>
      </c>
      <c r="M54" s="54" t="str">
        <f>IF(K54&lt;='MC ANALISIS INTERNO'!$F$100,((1.5*'MC ANALISIS INTERNO'!L128))/($C$20*TAN(RADIANS('PROPIEDADES DE LOS SUELOS'!$C$26))*$C$21*'PROPIEDADES DE LOS SUELOS'!$C$24*L54*$C$25*$C$26),"")</f>
        <v/>
      </c>
      <c r="N54" s="64" t="str">
        <f t="shared" si="2"/>
        <v/>
      </c>
    </row>
    <row r="55" spans="1:14" x14ac:dyDescent="0.25">
      <c r="A55" s="57">
        <v>27</v>
      </c>
      <c r="B55" s="54" t="str">
        <f>'MC ANALISIS INTERNO'!B129</f>
        <v/>
      </c>
      <c r="C55" s="54" t="str">
        <f>IF(A55&lt;='MC ANALISIS INTERNO'!$F$100,((1.5*'MC ANALISIS INTERNO'!D129))/($C$20*TAN(RADIANS('PROPIEDADES DE LOS SUELOS'!$C$26))*$C$21*'PROPIEDADES DE LOS SUELOS'!$C$24*B55*$C$25*$C$26),"")</f>
        <v/>
      </c>
      <c r="D55" s="64" t="str">
        <f t="shared" si="0"/>
        <v/>
      </c>
      <c r="E55" s="62"/>
      <c r="F55" s="57">
        <v>57</v>
      </c>
      <c r="G55" s="54" t="str">
        <f>'MC ANALISIS INTERNO'!G129</f>
        <v/>
      </c>
      <c r="H55" s="54" t="str">
        <f>IF(F55&lt;='MC ANALISIS INTERNO'!$F$100,((1.5*'MC ANALISIS INTERNO'!H129))/($C$20*TAN(RADIANS('PROPIEDADES DE LOS SUELOS'!$C$26))*$C$21*'PROPIEDADES DE LOS SUELOS'!$C$24*G55*$C$25*$C$26),"")</f>
        <v/>
      </c>
      <c r="I55" s="64" t="str">
        <f t="shared" si="1"/>
        <v/>
      </c>
      <c r="J55" s="62"/>
      <c r="K55" s="57">
        <v>87</v>
      </c>
      <c r="L55" s="54" t="str">
        <f>'MC ANALISIS INTERNO'!L129</f>
        <v/>
      </c>
      <c r="M55" s="54" t="str">
        <f>IF(K55&lt;='MC ANALISIS INTERNO'!$F$100,((1.5*'MC ANALISIS INTERNO'!L129))/($C$20*TAN(RADIANS('PROPIEDADES DE LOS SUELOS'!$C$26))*$C$21*'PROPIEDADES DE LOS SUELOS'!$C$24*L55*$C$25*$C$26),"")</f>
        <v/>
      </c>
      <c r="N55" s="64" t="str">
        <f t="shared" si="2"/>
        <v/>
      </c>
    </row>
    <row r="56" spans="1:14" x14ac:dyDescent="0.25">
      <c r="A56" s="57">
        <v>28</v>
      </c>
      <c r="B56" s="54" t="str">
        <f>'MC ANALISIS INTERNO'!B130</f>
        <v/>
      </c>
      <c r="C56" s="54" t="str">
        <f>IF(A56&lt;='MC ANALISIS INTERNO'!$F$100,((1.5*'MC ANALISIS INTERNO'!D130))/($C$20*TAN(RADIANS('PROPIEDADES DE LOS SUELOS'!$C$26))*$C$21*'PROPIEDADES DE LOS SUELOS'!$C$24*B56*$C$25*$C$26),"")</f>
        <v/>
      </c>
      <c r="D56" s="64" t="str">
        <f t="shared" si="0"/>
        <v/>
      </c>
      <c r="E56" s="62"/>
      <c r="F56" s="57">
        <v>58</v>
      </c>
      <c r="G56" s="54" t="str">
        <f>'MC ANALISIS INTERNO'!G130</f>
        <v/>
      </c>
      <c r="H56" s="54" t="str">
        <f>IF(F56&lt;='MC ANALISIS INTERNO'!$F$100,((1.5*'MC ANALISIS INTERNO'!H130))/($C$20*TAN(RADIANS('PROPIEDADES DE LOS SUELOS'!$C$26))*$C$21*'PROPIEDADES DE LOS SUELOS'!$C$24*G56*$C$25*$C$26),"")</f>
        <v/>
      </c>
      <c r="I56" s="64" t="str">
        <f t="shared" si="1"/>
        <v/>
      </c>
      <c r="J56" s="62"/>
      <c r="K56" s="57">
        <v>88</v>
      </c>
      <c r="L56" s="54" t="str">
        <f>'MC ANALISIS INTERNO'!L130</f>
        <v/>
      </c>
      <c r="M56" s="54" t="str">
        <f>IF(K56&lt;='MC ANALISIS INTERNO'!$F$100,((1.5*'MC ANALISIS INTERNO'!L130))/($C$20*TAN(RADIANS('PROPIEDADES DE LOS SUELOS'!$C$26))*$C$21*'PROPIEDADES DE LOS SUELOS'!$C$24*L56*$C$25*$C$26),"")</f>
        <v/>
      </c>
      <c r="N56" s="64" t="str">
        <f t="shared" si="2"/>
        <v/>
      </c>
    </row>
    <row r="57" spans="1:14" x14ac:dyDescent="0.25">
      <c r="A57" s="57">
        <v>29</v>
      </c>
      <c r="B57" s="54" t="str">
        <f>'MC ANALISIS INTERNO'!B131</f>
        <v/>
      </c>
      <c r="C57" s="54" t="str">
        <f>IF(A57&lt;='MC ANALISIS INTERNO'!$F$100,((1.5*'MC ANALISIS INTERNO'!D131))/($C$20*TAN(RADIANS('PROPIEDADES DE LOS SUELOS'!$C$26))*$C$21*'PROPIEDADES DE LOS SUELOS'!$C$24*B57*$C$25*$C$26),"")</f>
        <v/>
      </c>
      <c r="D57" s="64" t="str">
        <f t="shared" si="0"/>
        <v/>
      </c>
      <c r="E57" s="62"/>
      <c r="F57" s="57">
        <v>59</v>
      </c>
      <c r="G57" s="54" t="str">
        <f>'MC ANALISIS INTERNO'!G131</f>
        <v/>
      </c>
      <c r="H57" s="54" t="str">
        <f>IF(F57&lt;='MC ANALISIS INTERNO'!$F$100,((1.5*'MC ANALISIS INTERNO'!H131))/($C$20*TAN(RADIANS('PROPIEDADES DE LOS SUELOS'!$C$26))*$C$21*'PROPIEDADES DE LOS SUELOS'!$C$24*G57*$C$25*$C$26),"")</f>
        <v/>
      </c>
      <c r="I57" s="64" t="str">
        <f t="shared" si="1"/>
        <v/>
      </c>
      <c r="J57" s="62"/>
      <c r="K57" s="57">
        <v>89</v>
      </c>
      <c r="L57" s="54" t="str">
        <f>'MC ANALISIS INTERNO'!L131</f>
        <v/>
      </c>
      <c r="M57" s="54" t="str">
        <f>IF(K57&lt;='MC ANALISIS INTERNO'!$F$100,((1.5*'MC ANALISIS INTERNO'!L131))/($C$20*TAN(RADIANS('PROPIEDADES DE LOS SUELOS'!$C$26))*$C$21*'PROPIEDADES DE LOS SUELOS'!$C$24*L57*$C$25*$C$26),"")</f>
        <v/>
      </c>
      <c r="N57" s="64" t="str">
        <f t="shared" si="2"/>
        <v/>
      </c>
    </row>
    <row r="58" spans="1:14" ht="15.75" thickBot="1" x14ac:dyDescent="0.3">
      <c r="A58" s="58">
        <v>30</v>
      </c>
      <c r="B58" s="59" t="str">
        <f>'MC ANALISIS INTERNO'!B132</f>
        <v/>
      </c>
      <c r="C58" s="59" t="str">
        <f>IF(A58&lt;='MC ANALISIS INTERNO'!$F$100,((1.5*'MC ANALISIS INTERNO'!D132))/($C$20*TAN(RADIANS('PROPIEDADES DE LOS SUELOS'!$C$26))*$C$21*'PROPIEDADES DE LOS SUELOS'!$C$24*B58*$C$25*$C$26),"")</f>
        <v/>
      </c>
      <c r="D58" s="65" t="str">
        <f t="shared" si="0"/>
        <v/>
      </c>
      <c r="E58" s="62"/>
      <c r="F58" s="58">
        <v>60</v>
      </c>
      <c r="G58" s="59" t="str">
        <f>'MC ANALISIS INTERNO'!G132</f>
        <v/>
      </c>
      <c r="H58" s="59" t="str">
        <f>IF(F58&lt;='MC ANALISIS INTERNO'!$F$100,((1.5*'MC ANALISIS INTERNO'!H132))/($C$20*TAN(RADIANS('PROPIEDADES DE LOS SUELOS'!$C$26))*$C$21*'PROPIEDADES DE LOS SUELOS'!$C$24*G58*$C$25*$C$26),"")</f>
        <v/>
      </c>
      <c r="I58" s="65" t="str">
        <f t="shared" si="1"/>
        <v/>
      </c>
      <c r="J58" s="62"/>
      <c r="K58" s="58">
        <v>90</v>
      </c>
      <c r="L58" s="59" t="str">
        <f>'MC ANALISIS INTERNO'!L132</f>
        <v/>
      </c>
      <c r="M58" s="59" t="str">
        <f>IF(K58&lt;='MC ANALISIS INTERNO'!$F$100,((1.5*'MC ANALISIS INTERNO'!L132))/($C$20*TAN(RADIANS('PROPIEDADES DE LOS SUELOS'!$C$26))*$C$21*'PROPIEDADES DE LOS SUELOS'!$C$24*L58*$C$25*$C$26),"")</f>
        <v/>
      </c>
      <c r="N58" s="65" t="str">
        <f t="shared" si="2"/>
        <v/>
      </c>
    </row>
    <row r="59" spans="1:14" x14ac:dyDescent="0.25">
      <c r="A59" s="62"/>
      <c r="B59" s="62"/>
      <c r="C59" s="62"/>
    </row>
    <row r="60" spans="1:14" x14ac:dyDescent="0.25">
      <c r="A60" s="62"/>
      <c r="B60" s="62"/>
      <c r="C60" s="62"/>
    </row>
    <row r="61" spans="1:14" ht="18.75" x14ac:dyDescent="0.3">
      <c r="A61" s="8" t="s">
        <v>171</v>
      </c>
    </row>
    <row r="64" spans="1:14" ht="15.75" thickBot="1" x14ac:dyDescent="0.3"/>
    <row r="65" spans="1:11" x14ac:dyDescent="0.25">
      <c r="A65" s="55" t="s">
        <v>144</v>
      </c>
      <c r="B65" s="61" t="s">
        <v>131</v>
      </c>
      <c r="C65" s="66" t="s">
        <v>148</v>
      </c>
      <c r="D65" s="62"/>
      <c r="E65" s="55" t="s">
        <v>144</v>
      </c>
      <c r="F65" s="61" t="s">
        <v>131</v>
      </c>
      <c r="G65" s="66" t="s">
        <v>148</v>
      </c>
      <c r="H65" s="62"/>
      <c r="I65" s="55" t="s">
        <v>144</v>
      </c>
      <c r="J65" s="61" t="s">
        <v>131</v>
      </c>
      <c r="K65" s="66" t="s">
        <v>148</v>
      </c>
    </row>
    <row r="66" spans="1:11" x14ac:dyDescent="0.25">
      <c r="A66" s="57">
        <v>1</v>
      </c>
      <c r="B66" s="54">
        <f>'MC ANALISIS INTERNO'!B103</f>
        <v>0.5</v>
      </c>
      <c r="C66" s="67">
        <f>IF(A66&lt;='MC ANALISIS INTERNO'!$F$100,('GEOMETRIA DEL MURO'!$F$10-B66)*TAN(RADIANS(45-('PROPIEDADES DE LOS SUELOS'!$C$26/2))),"")</f>
        <v>1.864841369482491</v>
      </c>
      <c r="D66" s="62"/>
      <c r="E66" s="57">
        <v>31</v>
      </c>
      <c r="F66" s="54" t="str">
        <f>'MC ANALISIS INTERNO'!G103</f>
        <v/>
      </c>
      <c r="G66" s="67" t="str">
        <f>IF(E66&lt;='MC ANALISIS INTERNO'!$F$100,('GEOMETRIA DEL MURO'!$F$10-F66)*TAN(RADIANS(45-('PROPIEDADES DE LOS SUELOS'!$C$26/2))),"")</f>
        <v/>
      </c>
      <c r="H66" s="62"/>
      <c r="I66" s="57">
        <v>61</v>
      </c>
      <c r="J66" s="54" t="str">
        <f>'MC ANALISIS INTERNO'!L103</f>
        <v/>
      </c>
      <c r="K66" s="67" t="str">
        <f>IF(I66&lt;='MC ANALISIS INTERNO'!$F$100,('GEOMETRIA DEL MURO'!$F$10-J66)*TAN(RADIANS(45-('PROPIEDADES DE LOS SUELOS'!$C$26/2))),"")</f>
        <v/>
      </c>
    </row>
    <row r="67" spans="1:11" x14ac:dyDescent="0.25">
      <c r="A67" s="57">
        <v>2</v>
      </c>
      <c r="B67" s="54">
        <f>'MC ANALISIS INTERNO'!B104</f>
        <v>1</v>
      </c>
      <c r="C67" s="67">
        <f>IF(A67&lt;='MC ANALISIS INTERNO'!$F$100,('GEOMETRIA DEL MURO'!$F$10-B67)*TAN(RADIANS(45-('PROPIEDADES DE LOS SUELOS'!$C$26/2))),"")</f>
        <v>1.5761662348876782</v>
      </c>
      <c r="D67" s="62"/>
      <c r="E67" s="57">
        <v>32</v>
      </c>
      <c r="F67" s="54" t="str">
        <f>'MC ANALISIS INTERNO'!G104</f>
        <v/>
      </c>
      <c r="G67" s="67" t="str">
        <f>IF(E67&lt;='MC ANALISIS INTERNO'!$F$100,('GEOMETRIA DEL MURO'!$F$10-F67)*TAN(RADIANS(45-('PROPIEDADES DE LOS SUELOS'!$C$26/2))),"")</f>
        <v/>
      </c>
      <c r="H67" s="62"/>
      <c r="I67" s="57">
        <v>62</v>
      </c>
      <c r="J67" s="54" t="str">
        <f>'MC ANALISIS INTERNO'!L104</f>
        <v/>
      </c>
      <c r="K67" s="67" t="str">
        <f>IF(I67&lt;='MC ANALISIS INTERNO'!$F$100,('GEOMETRIA DEL MURO'!$F$10-J67)*TAN(RADIANS(45-('PROPIEDADES DE LOS SUELOS'!$C$26/2))),"")</f>
        <v/>
      </c>
    </row>
    <row r="68" spans="1:11" x14ac:dyDescent="0.25">
      <c r="A68" s="57">
        <v>3</v>
      </c>
      <c r="B68" s="54">
        <f>'MC ANALISIS INTERNO'!B105</f>
        <v>1.5</v>
      </c>
      <c r="C68" s="67">
        <f>IF(A68&lt;='MC ANALISIS INTERNO'!$F$100,('GEOMETRIA DEL MURO'!$F$10-B68)*TAN(RADIANS(45-('PROPIEDADES DE LOS SUELOS'!$C$26/2))),"")</f>
        <v>1.2874911002928653</v>
      </c>
      <c r="D68" s="62"/>
      <c r="E68" s="57">
        <v>33</v>
      </c>
      <c r="F68" s="54" t="str">
        <f>'MC ANALISIS INTERNO'!G105</f>
        <v/>
      </c>
      <c r="G68" s="67" t="str">
        <f>IF(E68&lt;='MC ANALISIS INTERNO'!$F$100,('GEOMETRIA DEL MURO'!$F$10-F68)*TAN(RADIANS(45-('PROPIEDADES DE LOS SUELOS'!$C$26/2))),"")</f>
        <v/>
      </c>
      <c r="H68" s="62"/>
      <c r="I68" s="57">
        <v>63</v>
      </c>
      <c r="J68" s="54" t="str">
        <f>'MC ANALISIS INTERNO'!L105</f>
        <v/>
      </c>
      <c r="K68" s="67" t="str">
        <f>IF(I68&lt;='MC ANALISIS INTERNO'!$F$100,('GEOMETRIA DEL MURO'!$F$10-J68)*TAN(RADIANS(45-('PROPIEDADES DE LOS SUELOS'!$C$26/2))),"")</f>
        <v/>
      </c>
    </row>
    <row r="69" spans="1:11" x14ac:dyDescent="0.25">
      <c r="A69" s="57">
        <v>4</v>
      </c>
      <c r="B69" s="54">
        <f>'MC ANALISIS INTERNO'!B106</f>
        <v>2</v>
      </c>
      <c r="C69" s="67">
        <f>IF(A69&lt;='MC ANALISIS INTERNO'!$F$100,('GEOMETRIA DEL MURO'!$F$10-B69)*TAN(RADIANS(45-('PROPIEDADES DE LOS SUELOS'!$C$26/2))),"")</f>
        <v>0.99881596569805253</v>
      </c>
      <c r="D69" s="62"/>
      <c r="E69" s="57">
        <v>34</v>
      </c>
      <c r="F69" s="54" t="str">
        <f>'MC ANALISIS INTERNO'!G106</f>
        <v/>
      </c>
      <c r="G69" s="67" t="str">
        <f>IF(E69&lt;='MC ANALISIS INTERNO'!$F$100,('GEOMETRIA DEL MURO'!$F$10-F69)*TAN(RADIANS(45-('PROPIEDADES DE LOS SUELOS'!$C$26/2))),"")</f>
        <v/>
      </c>
      <c r="H69" s="62"/>
      <c r="I69" s="57">
        <v>64</v>
      </c>
      <c r="J69" s="54" t="str">
        <f>'MC ANALISIS INTERNO'!L106</f>
        <v/>
      </c>
      <c r="K69" s="67" t="str">
        <f>IF(I69&lt;='MC ANALISIS INTERNO'!$F$100,('GEOMETRIA DEL MURO'!$F$10-J69)*TAN(RADIANS(45-('PROPIEDADES DE LOS SUELOS'!$C$26/2))),"")</f>
        <v/>
      </c>
    </row>
    <row r="70" spans="1:11" x14ac:dyDescent="0.25">
      <c r="A70" s="57">
        <v>5</v>
      </c>
      <c r="B70" s="54">
        <f>'MC ANALISIS INTERNO'!B107</f>
        <v>2.5</v>
      </c>
      <c r="C70" s="67">
        <f>IF(A70&lt;='MC ANALISIS INTERNO'!$F$100,('GEOMETRIA DEL MURO'!$F$10-B70)*TAN(RADIANS(45-('PROPIEDADES DE LOS SUELOS'!$C$26/2))),"")</f>
        <v>0.71014083110323967</v>
      </c>
      <c r="D70" s="62"/>
      <c r="E70" s="57">
        <v>35</v>
      </c>
      <c r="F70" s="54" t="str">
        <f>'MC ANALISIS INTERNO'!G107</f>
        <v/>
      </c>
      <c r="G70" s="67" t="str">
        <f>IF(E70&lt;='MC ANALISIS INTERNO'!$F$100,('GEOMETRIA DEL MURO'!$F$10-F70)*TAN(RADIANS(45-('PROPIEDADES DE LOS SUELOS'!$C$26/2))),"")</f>
        <v/>
      </c>
      <c r="H70" s="62"/>
      <c r="I70" s="57">
        <v>65</v>
      </c>
      <c r="J70" s="54" t="str">
        <f>'MC ANALISIS INTERNO'!L107</f>
        <v/>
      </c>
      <c r="K70" s="67" t="str">
        <f>IF(I70&lt;='MC ANALISIS INTERNO'!$F$100,('GEOMETRIA DEL MURO'!$F$10-J70)*TAN(RADIANS(45-('PROPIEDADES DE LOS SUELOS'!$C$26/2))),"")</f>
        <v/>
      </c>
    </row>
    <row r="71" spans="1:11" x14ac:dyDescent="0.25">
      <c r="A71" s="57">
        <v>6</v>
      </c>
      <c r="B71" s="54">
        <f>'MC ANALISIS INTERNO'!B108</f>
        <v>3</v>
      </c>
      <c r="C71" s="67">
        <f>IF(A71&lt;='MC ANALISIS INTERNO'!$F$100,('GEOMETRIA DEL MURO'!$F$10-B71)*TAN(RADIANS(45-('PROPIEDADES DE LOS SUELOS'!$C$26/2))),"")</f>
        <v>0.42146569650842675</v>
      </c>
      <c r="D71" s="62"/>
      <c r="E71" s="57">
        <v>36</v>
      </c>
      <c r="F71" s="54" t="str">
        <f>'MC ANALISIS INTERNO'!G108</f>
        <v/>
      </c>
      <c r="G71" s="67" t="str">
        <f>IF(E71&lt;='MC ANALISIS INTERNO'!$F$100,('GEOMETRIA DEL MURO'!$F$10-F71)*TAN(RADIANS(45-('PROPIEDADES DE LOS SUELOS'!$C$26/2))),"")</f>
        <v/>
      </c>
      <c r="H71" s="62"/>
      <c r="I71" s="57">
        <v>66</v>
      </c>
      <c r="J71" s="54" t="str">
        <f>'MC ANALISIS INTERNO'!L108</f>
        <v/>
      </c>
      <c r="K71" s="67" t="str">
        <f>IF(I71&lt;='MC ANALISIS INTERNO'!$F$100,('GEOMETRIA DEL MURO'!$F$10-J71)*TAN(RADIANS(45-('PROPIEDADES DE LOS SUELOS'!$C$26/2))),"")</f>
        <v/>
      </c>
    </row>
    <row r="72" spans="1:11" x14ac:dyDescent="0.25">
      <c r="A72" s="57">
        <v>7</v>
      </c>
      <c r="B72" s="54">
        <f>'MC ANALISIS INTERNO'!B109</f>
        <v>3.5</v>
      </c>
      <c r="C72" s="67">
        <f>IF(A72&lt;='MC ANALISIS INTERNO'!$F$100,('GEOMETRIA DEL MURO'!$F$10-B72)*TAN(RADIANS(45-('PROPIEDADES DE LOS SUELOS'!$C$26/2))),"")</f>
        <v>0.13279056191361391</v>
      </c>
      <c r="D72" s="62"/>
      <c r="E72" s="57">
        <v>37</v>
      </c>
      <c r="F72" s="54" t="str">
        <f>'MC ANALISIS INTERNO'!G109</f>
        <v/>
      </c>
      <c r="G72" s="67" t="str">
        <f>IF(E72&lt;='MC ANALISIS INTERNO'!$F$100,('GEOMETRIA DEL MURO'!$F$10-F72)*TAN(RADIANS(45-('PROPIEDADES DE LOS SUELOS'!$C$26/2))),"")</f>
        <v/>
      </c>
      <c r="H72" s="62"/>
      <c r="I72" s="57">
        <v>67</v>
      </c>
      <c r="J72" s="54" t="str">
        <f>'MC ANALISIS INTERNO'!L109</f>
        <v/>
      </c>
      <c r="K72" s="67" t="str">
        <f>IF(I72&lt;='MC ANALISIS INTERNO'!$F$100,('GEOMETRIA DEL MURO'!$F$10-J72)*TAN(RADIANS(45-('PROPIEDADES DE LOS SUELOS'!$C$26/2))),"")</f>
        <v/>
      </c>
    </row>
    <row r="73" spans="1:11" x14ac:dyDescent="0.25">
      <c r="A73" s="57">
        <v>8</v>
      </c>
      <c r="B73" s="54" t="str">
        <f>'MC ANALISIS INTERNO'!B110</f>
        <v/>
      </c>
      <c r="C73" s="67" t="str">
        <f>IF(A73&lt;='MC ANALISIS INTERNO'!$F$100,('GEOMETRIA DEL MURO'!$F$10-B73)*TAN(RADIANS(45-('PROPIEDADES DE LOS SUELOS'!$C$26/2))),"")</f>
        <v/>
      </c>
      <c r="D73" s="62"/>
      <c r="E73" s="57">
        <v>38</v>
      </c>
      <c r="F73" s="54" t="str">
        <f>'MC ANALISIS INTERNO'!G110</f>
        <v/>
      </c>
      <c r="G73" s="67" t="str">
        <f>IF(E73&lt;='MC ANALISIS INTERNO'!$F$100,('GEOMETRIA DEL MURO'!$F$10-F73)*TAN(RADIANS(45-('PROPIEDADES DE LOS SUELOS'!$C$26/2))),"")</f>
        <v/>
      </c>
      <c r="H73" s="62"/>
      <c r="I73" s="57">
        <v>68</v>
      </c>
      <c r="J73" s="54" t="str">
        <f>'MC ANALISIS INTERNO'!L110</f>
        <v/>
      </c>
      <c r="K73" s="67" t="str">
        <f>IF(I73&lt;='MC ANALISIS INTERNO'!$F$100,('GEOMETRIA DEL MURO'!$F$10-J73)*TAN(RADIANS(45-('PROPIEDADES DE LOS SUELOS'!$C$26/2))),"")</f>
        <v/>
      </c>
    </row>
    <row r="74" spans="1:11" x14ac:dyDescent="0.25">
      <c r="A74" s="57">
        <v>9</v>
      </c>
      <c r="B74" s="54" t="str">
        <f>'MC ANALISIS INTERNO'!B111</f>
        <v/>
      </c>
      <c r="C74" s="67" t="str">
        <f>IF(A74&lt;='MC ANALISIS INTERNO'!$F$100,('GEOMETRIA DEL MURO'!$F$10-B74)*TAN(RADIANS(45-('PROPIEDADES DE LOS SUELOS'!$C$26/2))),"")</f>
        <v/>
      </c>
      <c r="D74" s="62"/>
      <c r="E74" s="57">
        <v>39</v>
      </c>
      <c r="F74" s="54" t="str">
        <f>'MC ANALISIS INTERNO'!G111</f>
        <v/>
      </c>
      <c r="G74" s="67" t="str">
        <f>IF(E74&lt;='MC ANALISIS INTERNO'!$F$100,('GEOMETRIA DEL MURO'!$F$10-F74)*TAN(RADIANS(45-('PROPIEDADES DE LOS SUELOS'!$C$26/2))),"")</f>
        <v/>
      </c>
      <c r="H74" s="62"/>
      <c r="I74" s="57">
        <v>69</v>
      </c>
      <c r="J74" s="54" t="str">
        <f>'MC ANALISIS INTERNO'!L111</f>
        <v/>
      </c>
      <c r="K74" s="67" t="str">
        <f>IF(I74&lt;='MC ANALISIS INTERNO'!$F$100,('GEOMETRIA DEL MURO'!$F$10-J74)*TAN(RADIANS(45-('PROPIEDADES DE LOS SUELOS'!$C$26/2))),"")</f>
        <v/>
      </c>
    </row>
    <row r="75" spans="1:11" x14ac:dyDescent="0.25">
      <c r="A75" s="57">
        <v>10</v>
      </c>
      <c r="B75" s="54" t="str">
        <f>'MC ANALISIS INTERNO'!B112</f>
        <v/>
      </c>
      <c r="C75" s="67" t="str">
        <f>IF(A75&lt;='MC ANALISIS INTERNO'!$F$100,('GEOMETRIA DEL MURO'!$F$10-B75)*TAN(RADIANS(45-('PROPIEDADES DE LOS SUELOS'!$C$26/2))),"")</f>
        <v/>
      </c>
      <c r="D75" s="62"/>
      <c r="E75" s="57">
        <v>40</v>
      </c>
      <c r="F75" s="54" t="str">
        <f>'MC ANALISIS INTERNO'!G112</f>
        <v/>
      </c>
      <c r="G75" s="67" t="str">
        <f>IF(E75&lt;='MC ANALISIS INTERNO'!$F$100,('GEOMETRIA DEL MURO'!$F$10-F75)*TAN(RADIANS(45-('PROPIEDADES DE LOS SUELOS'!$C$26/2))),"")</f>
        <v/>
      </c>
      <c r="H75" s="62"/>
      <c r="I75" s="57">
        <v>70</v>
      </c>
      <c r="J75" s="54" t="str">
        <f>'MC ANALISIS INTERNO'!L112</f>
        <v/>
      </c>
      <c r="K75" s="67" t="str">
        <f>IF(I75&lt;='MC ANALISIS INTERNO'!$F$100,('GEOMETRIA DEL MURO'!$F$10-J75)*TAN(RADIANS(45-('PROPIEDADES DE LOS SUELOS'!$C$26/2))),"")</f>
        <v/>
      </c>
    </row>
    <row r="76" spans="1:11" x14ac:dyDescent="0.25">
      <c r="A76" s="57">
        <v>11</v>
      </c>
      <c r="B76" s="54" t="str">
        <f>'MC ANALISIS INTERNO'!B113</f>
        <v/>
      </c>
      <c r="C76" s="67" t="str">
        <f>IF(A76&lt;='MC ANALISIS INTERNO'!$F$100,('GEOMETRIA DEL MURO'!$F$10-B76)*TAN(RADIANS(45-('PROPIEDADES DE LOS SUELOS'!$C$26/2))),"")</f>
        <v/>
      </c>
      <c r="D76" s="62"/>
      <c r="E76" s="57">
        <v>41</v>
      </c>
      <c r="F76" s="54" t="str">
        <f>'MC ANALISIS INTERNO'!G113</f>
        <v/>
      </c>
      <c r="G76" s="67" t="str">
        <f>IF(E76&lt;='MC ANALISIS INTERNO'!$F$100,('GEOMETRIA DEL MURO'!$F$10-F76)*TAN(RADIANS(45-('PROPIEDADES DE LOS SUELOS'!$C$26/2))),"")</f>
        <v/>
      </c>
      <c r="H76" s="62"/>
      <c r="I76" s="57">
        <v>71</v>
      </c>
      <c r="J76" s="54" t="str">
        <f>'MC ANALISIS INTERNO'!L113</f>
        <v/>
      </c>
      <c r="K76" s="67" t="str">
        <f>IF(I76&lt;='MC ANALISIS INTERNO'!$F$100,('GEOMETRIA DEL MURO'!$F$10-J76)*TAN(RADIANS(45-('PROPIEDADES DE LOS SUELOS'!$C$26/2))),"")</f>
        <v/>
      </c>
    </row>
    <row r="77" spans="1:11" x14ac:dyDescent="0.25">
      <c r="A77" s="57">
        <v>12</v>
      </c>
      <c r="B77" s="54" t="str">
        <f>'MC ANALISIS INTERNO'!B114</f>
        <v/>
      </c>
      <c r="C77" s="67" t="str">
        <f>IF(A77&lt;='MC ANALISIS INTERNO'!$F$100,('GEOMETRIA DEL MURO'!$F$10-B77)*TAN(RADIANS(45-('PROPIEDADES DE LOS SUELOS'!$C$26/2))),"")</f>
        <v/>
      </c>
      <c r="D77" s="62"/>
      <c r="E77" s="57">
        <v>42</v>
      </c>
      <c r="F77" s="54" t="str">
        <f>'MC ANALISIS INTERNO'!G114</f>
        <v/>
      </c>
      <c r="G77" s="67" t="str">
        <f>IF(E77&lt;='MC ANALISIS INTERNO'!$F$100,('GEOMETRIA DEL MURO'!$F$10-F77)*TAN(RADIANS(45-('PROPIEDADES DE LOS SUELOS'!$C$26/2))),"")</f>
        <v/>
      </c>
      <c r="H77" s="62"/>
      <c r="I77" s="57">
        <v>72</v>
      </c>
      <c r="J77" s="54" t="str">
        <f>'MC ANALISIS INTERNO'!L114</f>
        <v/>
      </c>
      <c r="K77" s="67" t="str">
        <f>IF(I77&lt;='MC ANALISIS INTERNO'!$F$100,('GEOMETRIA DEL MURO'!$F$10-J77)*TAN(RADIANS(45-('PROPIEDADES DE LOS SUELOS'!$C$26/2))),"")</f>
        <v/>
      </c>
    </row>
    <row r="78" spans="1:11" x14ac:dyDescent="0.25">
      <c r="A78" s="57">
        <v>13</v>
      </c>
      <c r="B78" s="54" t="str">
        <f>'MC ANALISIS INTERNO'!B115</f>
        <v/>
      </c>
      <c r="C78" s="67" t="str">
        <f>IF(A78&lt;='MC ANALISIS INTERNO'!$F$100,('GEOMETRIA DEL MURO'!$F$10-B78)*TAN(RADIANS(45-('PROPIEDADES DE LOS SUELOS'!$C$26/2))),"")</f>
        <v/>
      </c>
      <c r="D78" s="62"/>
      <c r="E78" s="57">
        <v>43</v>
      </c>
      <c r="F78" s="54" t="str">
        <f>'MC ANALISIS INTERNO'!G115</f>
        <v/>
      </c>
      <c r="G78" s="67" t="str">
        <f>IF(E78&lt;='MC ANALISIS INTERNO'!$F$100,('GEOMETRIA DEL MURO'!$F$10-F78)*TAN(RADIANS(45-('PROPIEDADES DE LOS SUELOS'!$C$26/2))),"")</f>
        <v/>
      </c>
      <c r="H78" s="62"/>
      <c r="I78" s="57">
        <v>73</v>
      </c>
      <c r="J78" s="54" t="str">
        <f>'MC ANALISIS INTERNO'!L115</f>
        <v/>
      </c>
      <c r="K78" s="67" t="str">
        <f>IF(I78&lt;='MC ANALISIS INTERNO'!$F$100,('GEOMETRIA DEL MURO'!$F$10-J78)*TAN(RADIANS(45-('PROPIEDADES DE LOS SUELOS'!$C$26/2))),"")</f>
        <v/>
      </c>
    </row>
    <row r="79" spans="1:11" x14ac:dyDescent="0.25">
      <c r="A79" s="57">
        <v>14</v>
      </c>
      <c r="B79" s="54" t="str">
        <f>'MC ANALISIS INTERNO'!B116</f>
        <v/>
      </c>
      <c r="C79" s="67" t="str">
        <f>IF(A79&lt;='MC ANALISIS INTERNO'!$F$100,('GEOMETRIA DEL MURO'!$F$10-B79)*TAN(RADIANS(45-('PROPIEDADES DE LOS SUELOS'!$C$26/2))),"")</f>
        <v/>
      </c>
      <c r="D79" s="62"/>
      <c r="E79" s="57">
        <v>44</v>
      </c>
      <c r="F79" s="54" t="str">
        <f>'MC ANALISIS INTERNO'!G116</f>
        <v/>
      </c>
      <c r="G79" s="67" t="str">
        <f>IF(E79&lt;='MC ANALISIS INTERNO'!$F$100,('GEOMETRIA DEL MURO'!$F$10-F79)*TAN(RADIANS(45-('PROPIEDADES DE LOS SUELOS'!$C$26/2))),"")</f>
        <v/>
      </c>
      <c r="H79" s="62"/>
      <c r="I79" s="57">
        <v>74</v>
      </c>
      <c r="J79" s="54" t="str">
        <f>'MC ANALISIS INTERNO'!L116</f>
        <v/>
      </c>
      <c r="K79" s="67" t="str">
        <f>IF(I79&lt;='MC ANALISIS INTERNO'!$F$100,('GEOMETRIA DEL MURO'!$F$10-J79)*TAN(RADIANS(45-('PROPIEDADES DE LOS SUELOS'!$C$26/2))),"")</f>
        <v/>
      </c>
    </row>
    <row r="80" spans="1:11" x14ac:dyDescent="0.25">
      <c r="A80" s="57">
        <v>15</v>
      </c>
      <c r="B80" s="54" t="str">
        <f>'MC ANALISIS INTERNO'!B117</f>
        <v/>
      </c>
      <c r="C80" s="67" t="str">
        <f>IF(A80&lt;='MC ANALISIS INTERNO'!$F$100,('GEOMETRIA DEL MURO'!$F$10-B80)*TAN(RADIANS(45-('PROPIEDADES DE LOS SUELOS'!$C$26/2))),"")</f>
        <v/>
      </c>
      <c r="D80" s="62"/>
      <c r="E80" s="57">
        <v>45</v>
      </c>
      <c r="F80" s="54" t="str">
        <f>'MC ANALISIS INTERNO'!G117</f>
        <v/>
      </c>
      <c r="G80" s="67" t="str">
        <f>IF(E80&lt;='MC ANALISIS INTERNO'!$F$100,('GEOMETRIA DEL MURO'!$F$10-F80)*TAN(RADIANS(45-('PROPIEDADES DE LOS SUELOS'!$C$26/2))),"")</f>
        <v/>
      </c>
      <c r="H80" s="62"/>
      <c r="I80" s="57">
        <v>75</v>
      </c>
      <c r="J80" s="54" t="str">
        <f>'MC ANALISIS INTERNO'!L117</f>
        <v/>
      </c>
      <c r="K80" s="67" t="str">
        <f>IF(I80&lt;='MC ANALISIS INTERNO'!$F$100,('GEOMETRIA DEL MURO'!$F$10-J80)*TAN(RADIANS(45-('PROPIEDADES DE LOS SUELOS'!$C$26/2))),"")</f>
        <v/>
      </c>
    </row>
    <row r="81" spans="1:11" x14ac:dyDescent="0.25">
      <c r="A81" s="57">
        <v>16</v>
      </c>
      <c r="B81" s="54" t="str">
        <f>'MC ANALISIS INTERNO'!B118</f>
        <v/>
      </c>
      <c r="C81" s="67" t="str">
        <f>IF(A81&lt;='MC ANALISIS INTERNO'!$F$100,('GEOMETRIA DEL MURO'!$F$10-B81)*TAN(RADIANS(45-('PROPIEDADES DE LOS SUELOS'!$C$26/2))),"")</f>
        <v/>
      </c>
      <c r="D81" s="62"/>
      <c r="E81" s="57">
        <v>46</v>
      </c>
      <c r="F81" s="54" t="str">
        <f>'MC ANALISIS INTERNO'!G118</f>
        <v/>
      </c>
      <c r="G81" s="67" t="str">
        <f>IF(E81&lt;='MC ANALISIS INTERNO'!$F$100,('GEOMETRIA DEL MURO'!$F$10-F81)*TAN(RADIANS(45-('PROPIEDADES DE LOS SUELOS'!$C$26/2))),"")</f>
        <v/>
      </c>
      <c r="H81" s="62"/>
      <c r="I81" s="57">
        <v>76</v>
      </c>
      <c r="J81" s="54" t="str">
        <f>'MC ANALISIS INTERNO'!L118</f>
        <v/>
      </c>
      <c r="K81" s="67" t="str">
        <f>IF(I81&lt;='MC ANALISIS INTERNO'!$F$100,('GEOMETRIA DEL MURO'!$F$10-J81)*TAN(RADIANS(45-('PROPIEDADES DE LOS SUELOS'!$C$26/2))),"")</f>
        <v/>
      </c>
    </row>
    <row r="82" spans="1:11" x14ac:dyDescent="0.25">
      <c r="A82" s="57">
        <v>17</v>
      </c>
      <c r="B82" s="54" t="str">
        <f>'MC ANALISIS INTERNO'!B119</f>
        <v/>
      </c>
      <c r="C82" s="67" t="str">
        <f>IF(A82&lt;='MC ANALISIS INTERNO'!$F$100,('GEOMETRIA DEL MURO'!$F$10-B82)*TAN(RADIANS(45-('PROPIEDADES DE LOS SUELOS'!$C$26/2))),"")</f>
        <v/>
      </c>
      <c r="D82" s="62"/>
      <c r="E82" s="57">
        <v>47</v>
      </c>
      <c r="F82" s="54" t="str">
        <f>'MC ANALISIS INTERNO'!G119</f>
        <v/>
      </c>
      <c r="G82" s="67" t="str">
        <f>IF(E82&lt;='MC ANALISIS INTERNO'!$F$100,('GEOMETRIA DEL MURO'!$F$10-F82)*TAN(RADIANS(45-('PROPIEDADES DE LOS SUELOS'!$C$26/2))),"")</f>
        <v/>
      </c>
      <c r="H82" s="62"/>
      <c r="I82" s="57">
        <v>77</v>
      </c>
      <c r="J82" s="54" t="str">
        <f>'MC ANALISIS INTERNO'!L119</f>
        <v/>
      </c>
      <c r="K82" s="67" t="str">
        <f>IF(I82&lt;='MC ANALISIS INTERNO'!$F$100,('GEOMETRIA DEL MURO'!$F$10-J82)*TAN(RADIANS(45-('PROPIEDADES DE LOS SUELOS'!$C$26/2))),"")</f>
        <v/>
      </c>
    </row>
    <row r="83" spans="1:11" x14ac:dyDescent="0.25">
      <c r="A83" s="57">
        <v>18</v>
      </c>
      <c r="B83" s="54" t="str">
        <f>'MC ANALISIS INTERNO'!B120</f>
        <v/>
      </c>
      <c r="C83" s="67" t="str">
        <f>IF(A83&lt;='MC ANALISIS INTERNO'!$F$100,('GEOMETRIA DEL MURO'!$F$10-B83)*TAN(RADIANS(45-('PROPIEDADES DE LOS SUELOS'!$C$26/2))),"")</f>
        <v/>
      </c>
      <c r="D83" s="62"/>
      <c r="E83" s="57">
        <v>48</v>
      </c>
      <c r="F83" s="54" t="str">
        <f>'MC ANALISIS INTERNO'!G120</f>
        <v/>
      </c>
      <c r="G83" s="67" t="str">
        <f>IF(E83&lt;='MC ANALISIS INTERNO'!$F$100,('GEOMETRIA DEL MURO'!$F$10-F83)*TAN(RADIANS(45-('PROPIEDADES DE LOS SUELOS'!$C$26/2))),"")</f>
        <v/>
      </c>
      <c r="H83" s="62"/>
      <c r="I83" s="57">
        <v>78</v>
      </c>
      <c r="J83" s="54" t="str">
        <f>'MC ANALISIS INTERNO'!L120</f>
        <v/>
      </c>
      <c r="K83" s="67" t="str">
        <f>IF(I83&lt;='MC ANALISIS INTERNO'!$F$100,('GEOMETRIA DEL MURO'!$F$10-J83)*TAN(RADIANS(45-('PROPIEDADES DE LOS SUELOS'!$C$26/2))),"")</f>
        <v/>
      </c>
    </row>
    <row r="84" spans="1:11" x14ac:dyDescent="0.25">
      <c r="A84" s="57">
        <v>19</v>
      </c>
      <c r="B84" s="54" t="str">
        <f>'MC ANALISIS INTERNO'!B121</f>
        <v/>
      </c>
      <c r="C84" s="67" t="str">
        <f>IF(A84&lt;='MC ANALISIS INTERNO'!$F$100,('GEOMETRIA DEL MURO'!$F$10-B84)*TAN(RADIANS(45-('PROPIEDADES DE LOS SUELOS'!$C$26/2))),"")</f>
        <v/>
      </c>
      <c r="D84" s="62"/>
      <c r="E84" s="57">
        <v>49</v>
      </c>
      <c r="F84" s="54" t="str">
        <f>'MC ANALISIS INTERNO'!G121</f>
        <v/>
      </c>
      <c r="G84" s="67" t="str">
        <f>IF(E84&lt;='MC ANALISIS INTERNO'!$F$100,('GEOMETRIA DEL MURO'!$F$10-F84)*TAN(RADIANS(45-('PROPIEDADES DE LOS SUELOS'!$C$26/2))),"")</f>
        <v/>
      </c>
      <c r="H84" s="62"/>
      <c r="I84" s="57">
        <v>79</v>
      </c>
      <c r="J84" s="54" t="str">
        <f>'MC ANALISIS INTERNO'!L121</f>
        <v/>
      </c>
      <c r="K84" s="67" t="str">
        <f>IF(I84&lt;='MC ANALISIS INTERNO'!$F$100,('GEOMETRIA DEL MURO'!$F$10-J84)*TAN(RADIANS(45-('PROPIEDADES DE LOS SUELOS'!$C$26/2))),"")</f>
        <v/>
      </c>
    </row>
    <row r="85" spans="1:11" x14ac:dyDescent="0.25">
      <c r="A85" s="57">
        <v>20</v>
      </c>
      <c r="B85" s="54" t="str">
        <f>'MC ANALISIS INTERNO'!B122</f>
        <v/>
      </c>
      <c r="C85" s="67" t="str">
        <f>IF(A85&lt;='MC ANALISIS INTERNO'!$F$100,('GEOMETRIA DEL MURO'!$F$10-B85)*TAN(RADIANS(45-('PROPIEDADES DE LOS SUELOS'!$C$26/2))),"")</f>
        <v/>
      </c>
      <c r="D85" s="62"/>
      <c r="E85" s="57">
        <v>50</v>
      </c>
      <c r="F85" s="54" t="str">
        <f>'MC ANALISIS INTERNO'!G122</f>
        <v/>
      </c>
      <c r="G85" s="67" t="str">
        <f>IF(E85&lt;='MC ANALISIS INTERNO'!$F$100,('GEOMETRIA DEL MURO'!$F$10-F85)*TAN(RADIANS(45-('PROPIEDADES DE LOS SUELOS'!$C$26/2))),"")</f>
        <v/>
      </c>
      <c r="H85" s="62"/>
      <c r="I85" s="57">
        <v>80</v>
      </c>
      <c r="J85" s="54" t="str">
        <f>'MC ANALISIS INTERNO'!L122</f>
        <v/>
      </c>
      <c r="K85" s="67" t="str">
        <f>IF(I85&lt;='MC ANALISIS INTERNO'!$F$100,('GEOMETRIA DEL MURO'!$F$10-J85)*TAN(RADIANS(45-('PROPIEDADES DE LOS SUELOS'!$C$26/2))),"")</f>
        <v/>
      </c>
    </row>
    <row r="86" spans="1:11" x14ac:dyDescent="0.25">
      <c r="A86" s="57">
        <v>21</v>
      </c>
      <c r="B86" s="54" t="str">
        <f>'MC ANALISIS INTERNO'!B123</f>
        <v/>
      </c>
      <c r="C86" s="67" t="str">
        <f>IF(A86&lt;='MC ANALISIS INTERNO'!$F$100,('GEOMETRIA DEL MURO'!$F$10-B86)*TAN(RADIANS(45-('PROPIEDADES DE LOS SUELOS'!$C$26/2))),"")</f>
        <v/>
      </c>
      <c r="D86" s="62"/>
      <c r="E86" s="57">
        <v>51</v>
      </c>
      <c r="F86" s="54" t="str">
        <f>'MC ANALISIS INTERNO'!G123</f>
        <v/>
      </c>
      <c r="G86" s="67" t="str">
        <f>IF(E86&lt;='MC ANALISIS INTERNO'!$F$100,('GEOMETRIA DEL MURO'!$F$10-F86)*TAN(RADIANS(45-('PROPIEDADES DE LOS SUELOS'!$C$26/2))),"")</f>
        <v/>
      </c>
      <c r="H86" s="62"/>
      <c r="I86" s="57">
        <v>81</v>
      </c>
      <c r="J86" s="54" t="str">
        <f>'MC ANALISIS INTERNO'!L123</f>
        <v/>
      </c>
      <c r="K86" s="67" t="str">
        <f>IF(I86&lt;='MC ANALISIS INTERNO'!$F$100,('GEOMETRIA DEL MURO'!$F$10-J86)*TAN(RADIANS(45-('PROPIEDADES DE LOS SUELOS'!$C$26/2))),"")</f>
        <v/>
      </c>
    </row>
    <row r="87" spans="1:11" x14ac:dyDescent="0.25">
      <c r="A87" s="57">
        <v>22</v>
      </c>
      <c r="B87" s="54" t="str">
        <f>'MC ANALISIS INTERNO'!B124</f>
        <v/>
      </c>
      <c r="C87" s="67" t="str">
        <f>IF(A87&lt;='MC ANALISIS INTERNO'!$F$100,('GEOMETRIA DEL MURO'!$F$10-B87)*TAN(RADIANS(45-('PROPIEDADES DE LOS SUELOS'!$C$26/2))),"")</f>
        <v/>
      </c>
      <c r="D87" s="62"/>
      <c r="E87" s="57">
        <v>52</v>
      </c>
      <c r="F87" s="54" t="str">
        <f>'MC ANALISIS INTERNO'!G124</f>
        <v/>
      </c>
      <c r="G87" s="67" t="str">
        <f>IF(E87&lt;='MC ANALISIS INTERNO'!$F$100,('GEOMETRIA DEL MURO'!$F$10-F87)*TAN(RADIANS(45-('PROPIEDADES DE LOS SUELOS'!$C$26/2))),"")</f>
        <v/>
      </c>
      <c r="H87" s="62"/>
      <c r="I87" s="57">
        <v>82</v>
      </c>
      <c r="J87" s="54" t="str">
        <f>'MC ANALISIS INTERNO'!L124</f>
        <v/>
      </c>
      <c r="K87" s="67" t="str">
        <f>IF(I87&lt;='MC ANALISIS INTERNO'!$F$100,('GEOMETRIA DEL MURO'!$F$10-J87)*TAN(RADIANS(45-('PROPIEDADES DE LOS SUELOS'!$C$26/2))),"")</f>
        <v/>
      </c>
    </row>
    <row r="88" spans="1:11" x14ac:dyDescent="0.25">
      <c r="A88" s="57">
        <v>23</v>
      </c>
      <c r="B88" s="54" t="str">
        <f>'MC ANALISIS INTERNO'!B125</f>
        <v/>
      </c>
      <c r="C88" s="67" t="str">
        <f>IF(A88&lt;='MC ANALISIS INTERNO'!$F$100,('GEOMETRIA DEL MURO'!$F$10-B88)*TAN(RADIANS(45-('PROPIEDADES DE LOS SUELOS'!$C$26/2))),"")</f>
        <v/>
      </c>
      <c r="D88" s="62"/>
      <c r="E88" s="57">
        <v>53</v>
      </c>
      <c r="F88" s="54" t="str">
        <f>'MC ANALISIS INTERNO'!G125</f>
        <v/>
      </c>
      <c r="G88" s="67" t="str">
        <f>IF(E88&lt;='MC ANALISIS INTERNO'!$F$100,('GEOMETRIA DEL MURO'!$F$10-F88)*TAN(RADIANS(45-('PROPIEDADES DE LOS SUELOS'!$C$26/2))),"")</f>
        <v/>
      </c>
      <c r="H88" s="62"/>
      <c r="I88" s="57">
        <v>83</v>
      </c>
      <c r="J88" s="54" t="str">
        <f>'MC ANALISIS INTERNO'!L125</f>
        <v/>
      </c>
      <c r="K88" s="67" t="str">
        <f>IF(I88&lt;='MC ANALISIS INTERNO'!$F$100,('GEOMETRIA DEL MURO'!$F$10-J88)*TAN(RADIANS(45-('PROPIEDADES DE LOS SUELOS'!$C$26/2))),"")</f>
        <v/>
      </c>
    </row>
    <row r="89" spans="1:11" x14ac:dyDescent="0.25">
      <c r="A89" s="57">
        <v>24</v>
      </c>
      <c r="B89" s="54" t="str">
        <f>'MC ANALISIS INTERNO'!B126</f>
        <v/>
      </c>
      <c r="C89" s="67" t="str">
        <f>IF(A89&lt;='MC ANALISIS INTERNO'!$F$100,('GEOMETRIA DEL MURO'!$F$10-B89)*TAN(RADIANS(45-('PROPIEDADES DE LOS SUELOS'!$C$26/2))),"")</f>
        <v/>
      </c>
      <c r="D89" s="62"/>
      <c r="E89" s="57">
        <v>54</v>
      </c>
      <c r="F89" s="54" t="str">
        <f>'MC ANALISIS INTERNO'!G126</f>
        <v/>
      </c>
      <c r="G89" s="67" t="str">
        <f>IF(E89&lt;='MC ANALISIS INTERNO'!$F$100,('GEOMETRIA DEL MURO'!$F$10-F89)*TAN(RADIANS(45-('PROPIEDADES DE LOS SUELOS'!$C$26/2))),"")</f>
        <v/>
      </c>
      <c r="H89" s="62"/>
      <c r="I89" s="57">
        <v>84</v>
      </c>
      <c r="J89" s="54" t="str">
        <f>'MC ANALISIS INTERNO'!L126</f>
        <v/>
      </c>
      <c r="K89" s="67" t="str">
        <f>IF(I89&lt;='MC ANALISIS INTERNO'!$F$100,('GEOMETRIA DEL MURO'!$F$10-J89)*TAN(RADIANS(45-('PROPIEDADES DE LOS SUELOS'!$C$26/2))),"")</f>
        <v/>
      </c>
    </row>
    <row r="90" spans="1:11" x14ac:dyDescent="0.25">
      <c r="A90" s="57">
        <v>25</v>
      </c>
      <c r="B90" s="54" t="str">
        <f>'MC ANALISIS INTERNO'!B127</f>
        <v/>
      </c>
      <c r="C90" s="67" t="str">
        <f>IF(A90&lt;='MC ANALISIS INTERNO'!$F$100,('GEOMETRIA DEL MURO'!$F$10-B90)*TAN(RADIANS(45-('PROPIEDADES DE LOS SUELOS'!$C$26/2))),"")</f>
        <v/>
      </c>
      <c r="D90" s="62"/>
      <c r="E90" s="57">
        <v>55</v>
      </c>
      <c r="F90" s="54" t="str">
        <f>'MC ANALISIS INTERNO'!G127</f>
        <v/>
      </c>
      <c r="G90" s="67" t="str">
        <f>IF(E90&lt;='MC ANALISIS INTERNO'!$F$100,('GEOMETRIA DEL MURO'!$F$10-F90)*TAN(RADIANS(45-('PROPIEDADES DE LOS SUELOS'!$C$26/2))),"")</f>
        <v/>
      </c>
      <c r="H90" s="62"/>
      <c r="I90" s="57">
        <v>85</v>
      </c>
      <c r="J90" s="54" t="str">
        <f>'MC ANALISIS INTERNO'!L127</f>
        <v/>
      </c>
      <c r="K90" s="67" t="str">
        <f>IF(I90&lt;='MC ANALISIS INTERNO'!$F$100,('GEOMETRIA DEL MURO'!$F$10-J90)*TAN(RADIANS(45-('PROPIEDADES DE LOS SUELOS'!$C$26/2))),"")</f>
        <v/>
      </c>
    </row>
    <row r="91" spans="1:11" x14ac:dyDescent="0.25">
      <c r="A91" s="57">
        <v>26</v>
      </c>
      <c r="B91" s="54" t="str">
        <f>'MC ANALISIS INTERNO'!B128</f>
        <v/>
      </c>
      <c r="C91" s="67" t="str">
        <f>IF(A91&lt;='MC ANALISIS INTERNO'!$F$100,('GEOMETRIA DEL MURO'!$F$10-B91)*TAN(RADIANS(45-('PROPIEDADES DE LOS SUELOS'!$C$26/2))),"")</f>
        <v/>
      </c>
      <c r="D91" s="62"/>
      <c r="E91" s="57">
        <v>56</v>
      </c>
      <c r="F91" s="54" t="str">
        <f>'MC ANALISIS INTERNO'!G128</f>
        <v/>
      </c>
      <c r="G91" s="67" t="str">
        <f>IF(E91&lt;='MC ANALISIS INTERNO'!$F$100,('GEOMETRIA DEL MURO'!$F$10-F91)*TAN(RADIANS(45-('PROPIEDADES DE LOS SUELOS'!$C$26/2))),"")</f>
        <v/>
      </c>
      <c r="H91" s="62"/>
      <c r="I91" s="57">
        <v>86</v>
      </c>
      <c r="J91" s="54" t="str">
        <f>'MC ANALISIS INTERNO'!L128</f>
        <v/>
      </c>
      <c r="K91" s="67" t="str">
        <f>IF(I91&lt;='MC ANALISIS INTERNO'!$F$100,('GEOMETRIA DEL MURO'!$F$10-J91)*TAN(RADIANS(45-('PROPIEDADES DE LOS SUELOS'!$C$26/2))),"")</f>
        <v/>
      </c>
    </row>
    <row r="92" spans="1:11" x14ac:dyDescent="0.25">
      <c r="A92" s="57">
        <v>27</v>
      </c>
      <c r="B92" s="54" t="str">
        <f>'MC ANALISIS INTERNO'!B129</f>
        <v/>
      </c>
      <c r="C92" s="67" t="str">
        <f>IF(A92&lt;='MC ANALISIS INTERNO'!$F$100,('GEOMETRIA DEL MURO'!$F$10-B92)*TAN(RADIANS(45-('PROPIEDADES DE LOS SUELOS'!$C$26/2))),"")</f>
        <v/>
      </c>
      <c r="D92" s="62"/>
      <c r="E92" s="57">
        <v>57</v>
      </c>
      <c r="F92" s="54" t="str">
        <f>'MC ANALISIS INTERNO'!G129</f>
        <v/>
      </c>
      <c r="G92" s="67" t="str">
        <f>IF(E92&lt;='MC ANALISIS INTERNO'!$F$100,('GEOMETRIA DEL MURO'!$F$10-F92)*TAN(RADIANS(45-('PROPIEDADES DE LOS SUELOS'!$C$26/2))),"")</f>
        <v/>
      </c>
      <c r="H92" s="62"/>
      <c r="I92" s="57">
        <v>87</v>
      </c>
      <c r="J92" s="54" t="str">
        <f>'MC ANALISIS INTERNO'!L129</f>
        <v/>
      </c>
      <c r="K92" s="67" t="str">
        <f>IF(I92&lt;='MC ANALISIS INTERNO'!$F$100,('GEOMETRIA DEL MURO'!$F$10-J92)*TAN(RADIANS(45-('PROPIEDADES DE LOS SUELOS'!$C$26/2))),"")</f>
        <v/>
      </c>
    </row>
    <row r="93" spans="1:11" x14ac:dyDescent="0.25">
      <c r="A93" s="57">
        <v>28</v>
      </c>
      <c r="B93" s="54" t="str">
        <f>'MC ANALISIS INTERNO'!B130</f>
        <v/>
      </c>
      <c r="C93" s="67" t="str">
        <f>IF(A93&lt;='MC ANALISIS INTERNO'!$F$100,('GEOMETRIA DEL MURO'!$F$10-B93)*TAN(RADIANS(45-('PROPIEDADES DE LOS SUELOS'!$C$26/2))),"")</f>
        <v/>
      </c>
      <c r="D93" s="62"/>
      <c r="E93" s="57">
        <v>58</v>
      </c>
      <c r="F93" s="54" t="str">
        <f>'MC ANALISIS INTERNO'!G130</f>
        <v/>
      </c>
      <c r="G93" s="67" t="str">
        <f>IF(E93&lt;='MC ANALISIS INTERNO'!$F$100,('GEOMETRIA DEL MURO'!$F$10-F93)*TAN(RADIANS(45-('PROPIEDADES DE LOS SUELOS'!$C$26/2))),"")</f>
        <v/>
      </c>
      <c r="H93" s="62"/>
      <c r="I93" s="57">
        <v>88</v>
      </c>
      <c r="J93" s="54" t="str">
        <f>'MC ANALISIS INTERNO'!L130</f>
        <v/>
      </c>
      <c r="K93" s="67" t="str">
        <f>IF(I93&lt;='MC ANALISIS INTERNO'!$F$100,('GEOMETRIA DEL MURO'!$F$10-J93)*TAN(RADIANS(45-('PROPIEDADES DE LOS SUELOS'!$C$26/2))),"")</f>
        <v/>
      </c>
    </row>
    <row r="94" spans="1:11" x14ac:dyDescent="0.25">
      <c r="A94" s="57">
        <v>29</v>
      </c>
      <c r="B94" s="54" t="str">
        <f>'MC ANALISIS INTERNO'!B131</f>
        <v/>
      </c>
      <c r="C94" s="67" t="str">
        <f>IF(A94&lt;='MC ANALISIS INTERNO'!$F$100,('GEOMETRIA DEL MURO'!$F$10-B94)*TAN(RADIANS(45-('PROPIEDADES DE LOS SUELOS'!$C$26/2))),"")</f>
        <v/>
      </c>
      <c r="D94" s="62"/>
      <c r="E94" s="57">
        <v>59</v>
      </c>
      <c r="F94" s="54" t="str">
        <f>'MC ANALISIS INTERNO'!G131</f>
        <v/>
      </c>
      <c r="G94" s="67" t="str">
        <f>IF(E94&lt;='MC ANALISIS INTERNO'!$F$100,('GEOMETRIA DEL MURO'!$F$10-F94)*TAN(RADIANS(45-('PROPIEDADES DE LOS SUELOS'!$C$26/2))),"")</f>
        <v/>
      </c>
      <c r="H94" s="62"/>
      <c r="I94" s="57">
        <v>89</v>
      </c>
      <c r="J94" s="54" t="str">
        <f>'MC ANALISIS INTERNO'!L131</f>
        <v/>
      </c>
      <c r="K94" s="67" t="str">
        <f>IF(I94&lt;='MC ANALISIS INTERNO'!$F$100,('GEOMETRIA DEL MURO'!$F$10-J94)*TAN(RADIANS(45-('PROPIEDADES DE LOS SUELOS'!$C$26/2))),"")</f>
        <v/>
      </c>
    </row>
    <row r="95" spans="1:11" ht="15.75" thickBot="1" x14ac:dyDescent="0.3">
      <c r="A95" s="58">
        <v>30</v>
      </c>
      <c r="B95" s="59" t="str">
        <f>'MC ANALISIS INTERNO'!B132</f>
        <v/>
      </c>
      <c r="C95" s="68" t="str">
        <f>IF(A95&lt;='MC ANALISIS INTERNO'!$F$100,('GEOMETRIA DEL MURO'!$F$10-B95)*TAN(RADIANS(45-('PROPIEDADES DE LOS SUELOS'!$C$26/2))),"")</f>
        <v/>
      </c>
      <c r="D95" s="62"/>
      <c r="E95" s="58">
        <v>60</v>
      </c>
      <c r="F95" s="59" t="str">
        <f>'MC ANALISIS INTERNO'!G132</f>
        <v/>
      </c>
      <c r="G95" s="68" t="str">
        <f>IF(E95&lt;='MC ANALISIS INTERNO'!$F$100,('GEOMETRIA DEL MURO'!$F$10-F95)*TAN(RADIANS(45-('PROPIEDADES DE LOS SUELOS'!$C$26/2))),"")</f>
        <v/>
      </c>
      <c r="H95" s="62"/>
      <c r="I95" s="58">
        <v>90</v>
      </c>
      <c r="J95" s="59" t="str">
        <f>'MC ANALISIS INTERNO'!L132</f>
        <v/>
      </c>
      <c r="K95" s="68" t="str">
        <f>IF(I95&lt;='MC ANALISIS INTERNO'!$F$100,('GEOMETRIA DEL MURO'!$F$10-J95)*TAN(RADIANS(45-('PROPIEDADES DE LOS SUELOS'!$C$26/2))),"")</f>
        <v/>
      </c>
    </row>
    <row r="98" spans="1:14" ht="18.75" x14ac:dyDescent="0.3">
      <c r="A98" s="8" t="s">
        <v>153</v>
      </c>
    </row>
    <row r="99" spans="1:14" ht="15.75" thickBot="1" x14ac:dyDescent="0.3"/>
    <row r="100" spans="1:14" ht="37.5" x14ac:dyDescent="0.25">
      <c r="A100" s="71" t="s">
        <v>144</v>
      </c>
      <c r="B100" s="76" t="s">
        <v>131</v>
      </c>
      <c r="C100" s="77" t="s">
        <v>151</v>
      </c>
      <c r="D100" s="78" t="str">
        <f>'MC ANALISIS INTERNO'!$D$102</f>
        <v>Tmax (KN/m)</v>
      </c>
      <c r="E100" s="79"/>
      <c r="F100" s="71" t="s">
        <v>144</v>
      </c>
      <c r="G100" s="76" t="s">
        <v>131</v>
      </c>
      <c r="H100" s="77" t="s">
        <v>151</v>
      </c>
      <c r="I100" s="78" t="str">
        <f>'MC ANALISIS INTERNO'!$D$102</f>
        <v>Tmax (KN/m)</v>
      </c>
      <c r="J100" s="73"/>
      <c r="K100" s="71" t="s">
        <v>144</v>
      </c>
      <c r="L100" s="76" t="s">
        <v>131</v>
      </c>
      <c r="M100" s="77" t="s">
        <v>151</v>
      </c>
      <c r="N100" s="78" t="str">
        <f>'MC ANALISIS INTERNO'!$D$102</f>
        <v>Tmax (KN/m)</v>
      </c>
    </row>
    <row r="101" spans="1:14" ht="18.75" x14ac:dyDescent="0.3">
      <c r="A101" s="57">
        <v>1</v>
      </c>
      <c r="B101" s="54">
        <f>'MC ANALISIS INTERNO'!B103</f>
        <v>0.5</v>
      </c>
      <c r="C101" s="74">
        <f>IF(A101&lt;='MC ANALISIS INTERNO'!$F$100,D29+C66,"")</f>
        <v>3.413918796285464</v>
      </c>
      <c r="D101" s="69">
        <f>'MC ANALISIS INTERNO'!D103</f>
        <v>5.666666666666667</v>
      </c>
      <c r="E101" s="62"/>
      <c r="F101" s="57">
        <v>31</v>
      </c>
      <c r="G101" s="54" t="str">
        <f>'MC ANALISIS INTERNO'!G103</f>
        <v/>
      </c>
      <c r="H101" s="74" t="str">
        <f>IF(F101&lt;='MC ANALISIS INTERNO'!$F$100,I29+G66,"")</f>
        <v/>
      </c>
      <c r="I101" s="69" t="str">
        <f>'MC ANALISIS INTERNO'!I103</f>
        <v/>
      </c>
      <c r="K101" s="57">
        <v>61</v>
      </c>
      <c r="L101" s="54" t="str">
        <f>'MC ANALISIS INTERNO'!L103</f>
        <v/>
      </c>
      <c r="M101" s="74" t="str">
        <f>IF(K101&lt;='MC ANALISIS INTERNO'!$F$100,N29+K66,"")</f>
        <v/>
      </c>
      <c r="N101" s="69" t="str">
        <f>'MC ANALISIS INTERNO'!N103</f>
        <v/>
      </c>
    </row>
    <row r="102" spans="1:14" ht="18.75" x14ac:dyDescent="0.3">
      <c r="A102" s="57">
        <v>2</v>
      </c>
      <c r="B102" s="54">
        <f>'MC ANALISIS INTERNO'!B104</f>
        <v>1</v>
      </c>
      <c r="C102" s="74">
        <f>IF(A102&lt;='MC ANALISIS INTERNO'!$F$100,D30+C67,"")</f>
        <v>2.5761662348876779</v>
      </c>
      <c r="D102" s="69">
        <f>'MC ANALISIS INTERNO'!D104</f>
        <v>7.1666666666666679</v>
      </c>
      <c r="E102" s="62"/>
      <c r="F102" s="57">
        <v>32</v>
      </c>
      <c r="G102" s="54" t="str">
        <f>'MC ANALISIS INTERNO'!G104</f>
        <v/>
      </c>
      <c r="H102" s="74" t="str">
        <f>IF(F102&lt;='MC ANALISIS INTERNO'!$F$100,I30+G67,"")</f>
        <v/>
      </c>
      <c r="I102" s="69" t="str">
        <f>'MC ANALISIS INTERNO'!I104</f>
        <v/>
      </c>
      <c r="K102" s="57">
        <v>62</v>
      </c>
      <c r="L102" s="54" t="str">
        <f>'MC ANALISIS INTERNO'!L104</f>
        <v/>
      </c>
      <c r="M102" s="74" t="str">
        <f>IF(K102&lt;='MC ANALISIS INTERNO'!$F$100,N30+K67,"")</f>
        <v/>
      </c>
      <c r="N102" s="69" t="str">
        <f>'MC ANALISIS INTERNO'!N104</f>
        <v/>
      </c>
    </row>
    <row r="103" spans="1:14" ht="18.75" x14ac:dyDescent="0.3">
      <c r="A103" s="57">
        <v>3</v>
      </c>
      <c r="B103" s="54">
        <f>'MC ANALISIS INTERNO'!B105</f>
        <v>1.5</v>
      </c>
      <c r="C103" s="74">
        <f>IF(A103&lt;='MC ANALISIS INTERNO'!$F$100,D31+C68,"")</f>
        <v>2.2874911002928653</v>
      </c>
      <c r="D103" s="69">
        <f>'MC ANALISIS INTERNO'!D105</f>
        <v>8.6666666666666679</v>
      </c>
      <c r="E103" s="62"/>
      <c r="F103" s="57">
        <v>33</v>
      </c>
      <c r="G103" s="54" t="str">
        <f>'MC ANALISIS INTERNO'!G105</f>
        <v/>
      </c>
      <c r="H103" s="74" t="str">
        <f>IF(F103&lt;='MC ANALISIS INTERNO'!$F$100,I31+G68,"")</f>
        <v/>
      </c>
      <c r="I103" s="69" t="str">
        <f>'MC ANALISIS INTERNO'!I105</f>
        <v/>
      </c>
      <c r="K103" s="57">
        <v>63</v>
      </c>
      <c r="L103" s="54" t="str">
        <f>'MC ANALISIS INTERNO'!L105</f>
        <v/>
      </c>
      <c r="M103" s="74" t="str">
        <f>IF(K103&lt;='MC ANALISIS INTERNO'!$F$100,N31+K68,"")</f>
        <v/>
      </c>
      <c r="N103" s="69" t="str">
        <f>'MC ANALISIS INTERNO'!N105</f>
        <v/>
      </c>
    </row>
    <row r="104" spans="1:14" ht="18.75" x14ac:dyDescent="0.3">
      <c r="A104" s="57">
        <v>4</v>
      </c>
      <c r="B104" s="54">
        <f>'MC ANALISIS INTERNO'!B106</f>
        <v>2</v>
      </c>
      <c r="C104" s="74">
        <f>IF(A104&lt;='MC ANALISIS INTERNO'!$F$100,D32+C69,"")</f>
        <v>1.9988159656980526</v>
      </c>
      <c r="D104" s="69">
        <f>'MC ANALISIS INTERNO'!D106</f>
        <v>10.166666666666668</v>
      </c>
      <c r="E104" s="62"/>
      <c r="F104" s="57">
        <v>34</v>
      </c>
      <c r="G104" s="54" t="str">
        <f>'MC ANALISIS INTERNO'!G106</f>
        <v/>
      </c>
      <c r="H104" s="74" t="str">
        <f>IF(F104&lt;='MC ANALISIS INTERNO'!$F$100,I32+G69,"")</f>
        <v/>
      </c>
      <c r="I104" s="69" t="str">
        <f>'MC ANALISIS INTERNO'!I106</f>
        <v/>
      </c>
      <c r="K104" s="57">
        <v>64</v>
      </c>
      <c r="L104" s="54" t="str">
        <f>'MC ANALISIS INTERNO'!L106</f>
        <v/>
      </c>
      <c r="M104" s="74" t="str">
        <f>IF(K104&lt;='MC ANALISIS INTERNO'!$F$100,N32+K69,"")</f>
        <v/>
      </c>
      <c r="N104" s="69" t="str">
        <f>'MC ANALISIS INTERNO'!N106</f>
        <v/>
      </c>
    </row>
    <row r="105" spans="1:14" ht="18.75" x14ac:dyDescent="0.3">
      <c r="A105" s="57">
        <v>5</v>
      </c>
      <c r="B105" s="54">
        <f>'MC ANALISIS INTERNO'!B107</f>
        <v>2.5</v>
      </c>
      <c r="C105" s="74">
        <f>IF(A105&lt;='MC ANALISIS INTERNO'!$F$100,D33+C70,"")</f>
        <v>1.7101408311032396</v>
      </c>
      <c r="D105" s="69">
        <f>'MC ANALISIS INTERNO'!D107</f>
        <v>11.666666666666668</v>
      </c>
      <c r="E105" s="62"/>
      <c r="F105" s="57">
        <v>35</v>
      </c>
      <c r="G105" s="54" t="str">
        <f>'MC ANALISIS INTERNO'!G107</f>
        <v/>
      </c>
      <c r="H105" s="74" t="str">
        <f>IF(F105&lt;='MC ANALISIS INTERNO'!$F$100,I33+G70,"")</f>
        <v/>
      </c>
      <c r="I105" s="69" t="str">
        <f>'MC ANALISIS INTERNO'!I107</f>
        <v/>
      </c>
      <c r="K105" s="57">
        <v>65</v>
      </c>
      <c r="L105" s="54" t="str">
        <f>'MC ANALISIS INTERNO'!L107</f>
        <v/>
      </c>
      <c r="M105" s="74" t="str">
        <f>IF(K105&lt;='MC ANALISIS INTERNO'!$F$100,N33+K70,"")</f>
        <v/>
      </c>
      <c r="N105" s="69" t="str">
        <f>'MC ANALISIS INTERNO'!N107</f>
        <v/>
      </c>
    </row>
    <row r="106" spans="1:14" ht="18.75" x14ac:dyDescent="0.3">
      <c r="A106" s="57">
        <v>6</v>
      </c>
      <c r="B106" s="54">
        <f>'MC ANALISIS INTERNO'!B108</f>
        <v>3</v>
      </c>
      <c r="C106" s="74">
        <f>IF(A106&lt;='MC ANALISIS INTERNO'!$F$100,D34+C71,"")</f>
        <v>1.4214656965084267</v>
      </c>
      <c r="D106" s="69">
        <f>'MC ANALISIS INTERNO'!D108</f>
        <v>13.166666666666668</v>
      </c>
      <c r="E106" s="62"/>
      <c r="F106" s="57">
        <v>36</v>
      </c>
      <c r="G106" s="54" t="str">
        <f>'MC ANALISIS INTERNO'!G108</f>
        <v/>
      </c>
      <c r="H106" s="74" t="str">
        <f>IF(F106&lt;='MC ANALISIS INTERNO'!$F$100,I34+G71,"")</f>
        <v/>
      </c>
      <c r="I106" s="69" t="str">
        <f>'MC ANALISIS INTERNO'!I108</f>
        <v/>
      </c>
      <c r="K106" s="57">
        <v>66</v>
      </c>
      <c r="L106" s="54" t="str">
        <f>'MC ANALISIS INTERNO'!L108</f>
        <v/>
      </c>
      <c r="M106" s="74" t="str">
        <f>IF(K106&lt;='MC ANALISIS INTERNO'!$F$100,N34+K71,"")</f>
        <v/>
      </c>
      <c r="N106" s="69" t="str">
        <f>'MC ANALISIS INTERNO'!N108</f>
        <v/>
      </c>
    </row>
    <row r="107" spans="1:14" ht="18.75" x14ac:dyDescent="0.3">
      <c r="A107" s="57">
        <v>7</v>
      </c>
      <c r="B107" s="54">
        <f>'MC ANALISIS INTERNO'!B109</f>
        <v>3.5</v>
      </c>
      <c r="C107" s="74">
        <f>IF(A107&lt;='MC ANALISIS INTERNO'!$F$100,D35+C72,"")</f>
        <v>1.1327905619136138</v>
      </c>
      <c r="D107" s="69">
        <f>'MC ANALISIS INTERNO'!D109</f>
        <v>14.666666666666668</v>
      </c>
      <c r="E107" s="62"/>
      <c r="F107" s="57">
        <v>37</v>
      </c>
      <c r="G107" s="54" t="str">
        <f>'MC ANALISIS INTERNO'!G109</f>
        <v/>
      </c>
      <c r="H107" s="74" t="str">
        <f>IF(F107&lt;='MC ANALISIS INTERNO'!$F$100,I35+G72,"")</f>
        <v/>
      </c>
      <c r="I107" s="69" t="str">
        <f>'MC ANALISIS INTERNO'!I109</f>
        <v/>
      </c>
      <c r="K107" s="57">
        <v>67</v>
      </c>
      <c r="L107" s="54" t="str">
        <f>'MC ANALISIS INTERNO'!L109</f>
        <v/>
      </c>
      <c r="M107" s="74" t="str">
        <f>IF(K107&lt;='MC ANALISIS INTERNO'!$F$100,N35+K72,"")</f>
        <v/>
      </c>
      <c r="N107" s="69" t="str">
        <f>'MC ANALISIS INTERNO'!N109</f>
        <v/>
      </c>
    </row>
    <row r="108" spans="1:14" ht="18.75" x14ac:dyDescent="0.3">
      <c r="A108" s="57">
        <v>8</v>
      </c>
      <c r="B108" s="54" t="str">
        <f>'MC ANALISIS INTERNO'!B110</f>
        <v/>
      </c>
      <c r="C108" s="74" t="str">
        <f>IF(A108&lt;='MC ANALISIS INTERNO'!$F$100,D36+C73,"")</f>
        <v/>
      </c>
      <c r="D108" s="69" t="str">
        <f>'MC ANALISIS INTERNO'!D110</f>
        <v/>
      </c>
      <c r="E108" s="62"/>
      <c r="F108" s="57">
        <v>38</v>
      </c>
      <c r="G108" s="54" t="str">
        <f>'MC ANALISIS INTERNO'!G110</f>
        <v/>
      </c>
      <c r="H108" s="74" t="str">
        <f>IF(F108&lt;='MC ANALISIS INTERNO'!$F$100,I36+G73,"")</f>
        <v/>
      </c>
      <c r="I108" s="69" t="str">
        <f>'MC ANALISIS INTERNO'!I110</f>
        <v/>
      </c>
      <c r="K108" s="57">
        <v>68</v>
      </c>
      <c r="L108" s="54" t="str">
        <f>'MC ANALISIS INTERNO'!L110</f>
        <v/>
      </c>
      <c r="M108" s="74" t="str">
        <f>IF(K108&lt;='MC ANALISIS INTERNO'!$F$100,N36+K73,"")</f>
        <v/>
      </c>
      <c r="N108" s="69" t="str">
        <f>'MC ANALISIS INTERNO'!N110</f>
        <v/>
      </c>
    </row>
    <row r="109" spans="1:14" ht="18.75" x14ac:dyDescent="0.3">
      <c r="A109" s="57">
        <v>9</v>
      </c>
      <c r="B109" s="54" t="str">
        <f>'MC ANALISIS INTERNO'!B111</f>
        <v/>
      </c>
      <c r="C109" s="74" t="str">
        <f>IF(A109&lt;='MC ANALISIS INTERNO'!$F$100,D37+C74,"")</f>
        <v/>
      </c>
      <c r="D109" s="69" t="str">
        <f>'MC ANALISIS INTERNO'!D111</f>
        <v/>
      </c>
      <c r="E109" s="62"/>
      <c r="F109" s="57">
        <v>39</v>
      </c>
      <c r="G109" s="54" t="str">
        <f>'MC ANALISIS INTERNO'!G111</f>
        <v/>
      </c>
      <c r="H109" s="74" t="str">
        <f>IF(F109&lt;='MC ANALISIS INTERNO'!$F$100,I37+G74,"")</f>
        <v/>
      </c>
      <c r="I109" s="69" t="str">
        <f>'MC ANALISIS INTERNO'!I111</f>
        <v/>
      </c>
      <c r="K109" s="57">
        <v>69</v>
      </c>
      <c r="L109" s="54" t="str">
        <f>'MC ANALISIS INTERNO'!L111</f>
        <v/>
      </c>
      <c r="M109" s="74" t="str">
        <f>IF(K109&lt;='MC ANALISIS INTERNO'!$F$100,N37+K74,"")</f>
        <v/>
      </c>
      <c r="N109" s="69" t="str">
        <f>'MC ANALISIS INTERNO'!N111</f>
        <v/>
      </c>
    </row>
    <row r="110" spans="1:14" ht="18.75" x14ac:dyDescent="0.3">
      <c r="A110" s="57">
        <v>10</v>
      </c>
      <c r="B110" s="54" t="str">
        <f>'MC ANALISIS INTERNO'!B112</f>
        <v/>
      </c>
      <c r="C110" s="74" t="str">
        <f>IF(A110&lt;='MC ANALISIS INTERNO'!$F$100,D38+C75,"")</f>
        <v/>
      </c>
      <c r="D110" s="69" t="str">
        <f>'MC ANALISIS INTERNO'!D112</f>
        <v/>
      </c>
      <c r="E110" s="62"/>
      <c r="F110" s="57">
        <v>40</v>
      </c>
      <c r="G110" s="54" t="str">
        <f>'MC ANALISIS INTERNO'!G112</f>
        <v/>
      </c>
      <c r="H110" s="74" t="str">
        <f>IF(F110&lt;='MC ANALISIS INTERNO'!$F$100,I38+G75,"")</f>
        <v/>
      </c>
      <c r="I110" s="69" t="str">
        <f>'MC ANALISIS INTERNO'!I112</f>
        <v/>
      </c>
      <c r="K110" s="57">
        <v>70</v>
      </c>
      <c r="L110" s="54" t="str">
        <f>'MC ANALISIS INTERNO'!L112</f>
        <v/>
      </c>
      <c r="M110" s="74" t="str">
        <f>IF(K110&lt;='MC ANALISIS INTERNO'!$F$100,N38+K75,"")</f>
        <v/>
      </c>
      <c r="N110" s="69" t="str">
        <f>'MC ANALISIS INTERNO'!N112</f>
        <v/>
      </c>
    </row>
    <row r="111" spans="1:14" ht="18.75" x14ac:dyDescent="0.3">
      <c r="A111" s="57">
        <v>11</v>
      </c>
      <c r="B111" s="54" t="str">
        <f>'MC ANALISIS INTERNO'!B113</f>
        <v/>
      </c>
      <c r="C111" s="74" t="str">
        <f>IF(A111&lt;='MC ANALISIS INTERNO'!$F$100,D39+C76,"")</f>
        <v/>
      </c>
      <c r="D111" s="69" t="str">
        <f>'MC ANALISIS INTERNO'!D113</f>
        <v/>
      </c>
      <c r="E111" s="62"/>
      <c r="F111" s="57">
        <v>41</v>
      </c>
      <c r="G111" s="54" t="str">
        <f>'MC ANALISIS INTERNO'!G113</f>
        <v/>
      </c>
      <c r="H111" s="74" t="str">
        <f>IF(F111&lt;='MC ANALISIS INTERNO'!$F$100,I39+G76,"")</f>
        <v/>
      </c>
      <c r="I111" s="69" t="str">
        <f>'MC ANALISIS INTERNO'!I113</f>
        <v/>
      </c>
      <c r="K111" s="57">
        <v>71</v>
      </c>
      <c r="L111" s="54" t="str">
        <f>'MC ANALISIS INTERNO'!L113</f>
        <v/>
      </c>
      <c r="M111" s="74" t="str">
        <f>IF(K111&lt;='MC ANALISIS INTERNO'!$F$100,N39+K76,"")</f>
        <v/>
      </c>
      <c r="N111" s="69" t="str">
        <f>'MC ANALISIS INTERNO'!N113</f>
        <v/>
      </c>
    </row>
    <row r="112" spans="1:14" ht="18.75" x14ac:dyDescent="0.3">
      <c r="A112" s="57">
        <v>12</v>
      </c>
      <c r="B112" s="54" t="str">
        <f>'MC ANALISIS INTERNO'!B114</f>
        <v/>
      </c>
      <c r="C112" s="74" t="str">
        <f>IF(A112&lt;='MC ANALISIS INTERNO'!$F$100,D40+C77,"")</f>
        <v/>
      </c>
      <c r="D112" s="69" t="str">
        <f>'MC ANALISIS INTERNO'!D114</f>
        <v/>
      </c>
      <c r="E112" s="62"/>
      <c r="F112" s="57">
        <v>42</v>
      </c>
      <c r="G112" s="54" t="str">
        <f>'MC ANALISIS INTERNO'!G114</f>
        <v/>
      </c>
      <c r="H112" s="74" t="str">
        <f>IF(F112&lt;='MC ANALISIS INTERNO'!$F$100,I40+G77,"")</f>
        <v/>
      </c>
      <c r="I112" s="69" t="str">
        <f>'MC ANALISIS INTERNO'!I114</f>
        <v/>
      </c>
      <c r="K112" s="57">
        <v>72</v>
      </c>
      <c r="L112" s="54" t="str">
        <f>'MC ANALISIS INTERNO'!L114</f>
        <v/>
      </c>
      <c r="M112" s="74" t="str">
        <f>IF(K112&lt;='MC ANALISIS INTERNO'!$F$100,N40+K77,"")</f>
        <v/>
      </c>
      <c r="N112" s="69" t="str">
        <f>'MC ANALISIS INTERNO'!N114</f>
        <v/>
      </c>
    </row>
    <row r="113" spans="1:14" ht="18.75" x14ac:dyDescent="0.3">
      <c r="A113" s="57">
        <v>13</v>
      </c>
      <c r="B113" s="54" t="str">
        <f>'MC ANALISIS INTERNO'!B115</f>
        <v/>
      </c>
      <c r="C113" s="74" t="str">
        <f>IF(A113&lt;='MC ANALISIS INTERNO'!$F$100,D41+C78,"")</f>
        <v/>
      </c>
      <c r="D113" s="69" t="str">
        <f>'MC ANALISIS INTERNO'!D115</f>
        <v/>
      </c>
      <c r="E113" s="62"/>
      <c r="F113" s="57">
        <v>43</v>
      </c>
      <c r="G113" s="54" t="str">
        <f>'MC ANALISIS INTERNO'!G115</f>
        <v/>
      </c>
      <c r="H113" s="74" t="str">
        <f>IF(F113&lt;='MC ANALISIS INTERNO'!$F$100,I41+G78,"")</f>
        <v/>
      </c>
      <c r="I113" s="69" t="str">
        <f>'MC ANALISIS INTERNO'!I115</f>
        <v/>
      </c>
      <c r="K113" s="57">
        <v>73</v>
      </c>
      <c r="L113" s="54" t="str">
        <f>'MC ANALISIS INTERNO'!L115</f>
        <v/>
      </c>
      <c r="M113" s="74" t="str">
        <f>IF(K113&lt;='MC ANALISIS INTERNO'!$F$100,N41+K78,"")</f>
        <v/>
      </c>
      <c r="N113" s="69" t="str">
        <f>'MC ANALISIS INTERNO'!N115</f>
        <v/>
      </c>
    </row>
    <row r="114" spans="1:14" ht="18.75" x14ac:dyDescent="0.3">
      <c r="A114" s="57">
        <v>14</v>
      </c>
      <c r="B114" s="54" t="str">
        <f>'MC ANALISIS INTERNO'!B116</f>
        <v/>
      </c>
      <c r="C114" s="74" t="str">
        <f>IF(A114&lt;='MC ANALISIS INTERNO'!$F$100,D42+C79,"")</f>
        <v/>
      </c>
      <c r="D114" s="69" t="str">
        <f>'MC ANALISIS INTERNO'!D116</f>
        <v/>
      </c>
      <c r="E114" s="62"/>
      <c r="F114" s="57">
        <v>44</v>
      </c>
      <c r="G114" s="54" t="str">
        <f>'MC ANALISIS INTERNO'!G116</f>
        <v/>
      </c>
      <c r="H114" s="74" t="str">
        <f>IF(F114&lt;='MC ANALISIS INTERNO'!$F$100,I42+G79,"")</f>
        <v/>
      </c>
      <c r="I114" s="69" t="str">
        <f>'MC ANALISIS INTERNO'!I116</f>
        <v/>
      </c>
      <c r="K114" s="57">
        <v>74</v>
      </c>
      <c r="L114" s="54" t="str">
        <f>'MC ANALISIS INTERNO'!L116</f>
        <v/>
      </c>
      <c r="M114" s="74" t="str">
        <f>IF(K114&lt;='MC ANALISIS INTERNO'!$F$100,N42+K79,"")</f>
        <v/>
      </c>
      <c r="N114" s="69" t="str">
        <f>'MC ANALISIS INTERNO'!N116</f>
        <v/>
      </c>
    </row>
    <row r="115" spans="1:14" ht="18.75" x14ac:dyDescent="0.3">
      <c r="A115" s="57">
        <v>15</v>
      </c>
      <c r="B115" s="54" t="str">
        <f>'MC ANALISIS INTERNO'!B117</f>
        <v/>
      </c>
      <c r="C115" s="74" t="str">
        <f>IF(A115&lt;='MC ANALISIS INTERNO'!$F$100,D43+C80,"")</f>
        <v/>
      </c>
      <c r="D115" s="69" t="str">
        <f>'MC ANALISIS INTERNO'!D117</f>
        <v/>
      </c>
      <c r="E115" s="62"/>
      <c r="F115" s="57">
        <v>45</v>
      </c>
      <c r="G115" s="54" t="str">
        <f>'MC ANALISIS INTERNO'!G117</f>
        <v/>
      </c>
      <c r="H115" s="74" t="str">
        <f>IF(F115&lt;='MC ANALISIS INTERNO'!$F$100,I43+G80,"")</f>
        <v/>
      </c>
      <c r="I115" s="69" t="str">
        <f>'MC ANALISIS INTERNO'!I117</f>
        <v/>
      </c>
      <c r="K115" s="57">
        <v>75</v>
      </c>
      <c r="L115" s="54" t="str">
        <f>'MC ANALISIS INTERNO'!L117</f>
        <v/>
      </c>
      <c r="M115" s="74" t="str">
        <f>IF(K115&lt;='MC ANALISIS INTERNO'!$F$100,N43+K80,"")</f>
        <v/>
      </c>
      <c r="N115" s="69" t="str">
        <f>'MC ANALISIS INTERNO'!N117</f>
        <v/>
      </c>
    </row>
    <row r="116" spans="1:14" ht="18.75" x14ac:dyDescent="0.3">
      <c r="A116" s="57">
        <v>16</v>
      </c>
      <c r="B116" s="54" t="str">
        <f>'MC ANALISIS INTERNO'!B118</f>
        <v/>
      </c>
      <c r="C116" s="74" t="str">
        <f>IF(A116&lt;='MC ANALISIS INTERNO'!$F$100,D44+C81,"")</f>
        <v/>
      </c>
      <c r="D116" s="69" t="str">
        <f>'MC ANALISIS INTERNO'!D118</f>
        <v/>
      </c>
      <c r="E116" s="62"/>
      <c r="F116" s="57">
        <v>46</v>
      </c>
      <c r="G116" s="54" t="str">
        <f>'MC ANALISIS INTERNO'!G118</f>
        <v/>
      </c>
      <c r="H116" s="74" t="str">
        <f>IF(F116&lt;='MC ANALISIS INTERNO'!$F$100,I44+G81,"")</f>
        <v/>
      </c>
      <c r="I116" s="69" t="str">
        <f>'MC ANALISIS INTERNO'!I118</f>
        <v/>
      </c>
      <c r="K116" s="57">
        <v>76</v>
      </c>
      <c r="L116" s="54" t="str">
        <f>'MC ANALISIS INTERNO'!L118</f>
        <v/>
      </c>
      <c r="M116" s="74" t="str">
        <f>IF(K116&lt;='MC ANALISIS INTERNO'!$F$100,N44+K81,"")</f>
        <v/>
      </c>
      <c r="N116" s="69" t="str">
        <f>'MC ANALISIS INTERNO'!N118</f>
        <v/>
      </c>
    </row>
    <row r="117" spans="1:14" ht="18.75" x14ac:dyDescent="0.3">
      <c r="A117" s="57">
        <v>17</v>
      </c>
      <c r="B117" s="54" t="str">
        <f>'MC ANALISIS INTERNO'!B119</f>
        <v/>
      </c>
      <c r="C117" s="74" t="str">
        <f>IF(A117&lt;='MC ANALISIS INTERNO'!$F$100,D45+C82,"")</f>
        <v/>
      </c>
      <c r="D117" s="69" t="str">
        <f>'MC ANALISIS INTERNO'!D119</f>
        <v/>
      </c>
      <c r="E117" s="62"/>
      <c r="F117" s="57">
        <v>47</v>
      </c>
      <c r="G117" s="54" t="str">
        <f>'MC ANALISIS INTERNO'!G119</f>
        <v/>
      </c>
      <c r="H117" s="74" t="str">
        <f>IF(F117&lt;='MC ANALISIS INTERNO'!$F$100,I45+G82,"")</f>
        <v/>
      </c>
      <c r="I117" s="69" t="str">
        <f>'MC ANALISIS INTERNO'!I119</f>
        <v/>
      </c>
      <c r="K117" s="57">
        <v>77</v>
      </c>
      <c r="L117" s="54" t="str">
        <f>'MC ANALISIS INTERNO'!L119</f>
        <v/>
      </c>
      <c r="M117" s="74" t="str">
        <f>IF(K117&lt;='MC ANALISIS INTERNO'!$F$100,N45+K82,"")</f>
        <v/>
      </c>
      <c r="N117" s="69" t="str">
        <f>'MC ANALISIS INTERNO'!N119</f>
        <v/>
      </c>
    </row>
    <row r="118" spans="1:14" ht="18.75" x14ac:dyDescent="0.3">
      <c r="A118" s="57">
        <v>18</v>
      </c>
      <c r="B118" s="54" t="str">
        <f>'MC ANALISIS INTERNO'!B120</f>
        <v/>
      </c>
      <c r="C118" s="74" t="str">
        <f>IF(A118&lt;='MC ANALISIS INTERNO'!$F$100,D46+C83,"")</f>
        <v/>
      </c>
      <c r="D118" s="69" t="str">
        <f>'MC ANALISIS INTERNO'!D120</f>
        <v/>
      </c>
      <c r="E118" s="62"/>
      <c r="F118" s="57">
        <v>48</v>
      </c>
      <c r="G118" s="54" t="str">
        <f>'MC ANALISIS INTERNO'!G120</f>
        <v/>
      </c>
      <c r="H118" s="74" t="str">
        <f>IF(F118&lt;='MC ANALISIS INTERNO'!$F$100,I46+G83,"")</f>
        <v/>
      </c>
      <c r="I118" s="69" t="str">
        <f>'MC ANALISIS INTERNO'!I120</f>
        <v/>
      </c>
      <c r="K118" s="57">
        <v>78</v>
      </c>
      <c r="L118" s="54" t="str">
        <f>'MC ANALISIS INTERNO'!L120</f>
        <v/>
      </c>
      <c r="M118" s="74" t="str">
        <f>IF(K118&lt;='MC ANALISIS INTERNO'!$F$100,N46+K83,"")</f>
        <v/>
      </c>
      <c r="N118" s="69" t="str">
        <f>'MC ANALISIS INTERNO'!N120</f>
        <v/>
      </c>
    </row>
    <row r="119" spans="1:14" ht="18.75" x14ac:dyDescent="0.3">
      <c r="A119" s="57">
        <v>19</v>
      </c>
      <c r="B119" s="54" t="str">
        <f>'MC ANALISIS INTERNO'!B121</f>
        <v/>
      </c>
      <c r="C119" s="74" t="str">
        <f>IF(A119&lt;='MC ANALISIS INTERNO'!$F$100,D47+C84,"")</f>
        <v/>
      </c>
      <c r="D119" s="69" t="str">
        <f>'MC ANALISIS INTERNO'!D121</f>
        <v/>
      </c>
      <c r="E119" s="62"/>
      <c r="F119" s="57">
        <v>49</v>
      </c>
      <c r="G119" s="54" t="str">
        <f>'MC ANALISIS INTERNO'!G121</f>
        <v/>
      </c>
      <c r="H119" s="74" t="str">
        <f>IF(F119&lt;='MC ANALISIS INTERNO'!$F$100,I47+G84,"")</f>
        <v/>
      </c>
      <c r="I119" s="69" t="str">
        <f>'MC ANALISIS INTERNO'!I121</f>
        <v/>
      </c>
      <c r="K119" s="57">
        <v>79</v>
      </c>
      <c r="L119" s="54" t="str">
        <f>'MC ANALISIS INTERNO'!L121</f>
        <v/>
      </c>
      <c r="M119" s="74" t="str">
        <f>IF(K119&lt;='MC ANALISIS INTERNO'!$F$100,N47+K84,"")</f>
        <v/>
      </c>
      <c r="N119" s="69" t="str">
        <f>'MC ANALISIS INTERNO'!N121</f>
        <v/>
      </c>
    </row>
    <row r="120" spans="1:14" ht="18.75" x14ac:dyDescent="0.3">
      <c r="A120" s="57">
        <v>20</v>
      </c>
      <c r="B120" s="54" t="str">
        <f>'MC ANALISIS INTERNO'!B122</f>
        <v/>
      </c>
      <c r="C120" s="74" t="str">
        <f>IF(A120&lt;='MC ANALISIS INTERNO'!$F$100,D48+C85,"")</f>
        <v/>
      </c>
      <c r="D120" s="69" t="str">
        <f>'MC ANALISIS INTERNO'!D122</f>
        <v/>
      </c>
      <c r="E120" s="62"/>
      <c r="F120" s="57">
        <v>50</v>
      </c>
      <c r="G120" s="54" t="str">
        <f>'MC ANALISIS INTERNO'!G122</f>
        <v/>
      </c>
      <c r="H120" s="74" t="str">
        <f>IF(F120&lt;='MC ANALISIS INTERNO'!$F$100,I48+G85,"")</f>
        <v/>
      </c>
      <c r="I120" s="69" t="str">
        <f>'MC ANALISIS INTERNO'!I122</f>
        <v/>
      </c>
      <c r="K120" s="57">
        <v>80</v>
      </c>
      <c r="L120" s="54" t="str">
        <f>'MC ANALISIS INTERNO'!L122</f>
        <v/>
      </c>
      <c r="M120" s="74" t="str">
        <f>IF(K120&lt;='MC ANALISIS INTERNO'!$F$100,N48+K85,"")</f>
        <v/>
      </c>
      <c r="N120" s="69" t="str">
        <f>'MC ANALISIS INTERNO'!N122</f>
        <v/>
      </c>
    </row>
    <row r="121" spans="1:14" ht="18.75" x14ac:dyDescent="0.3">
      <c r="A121" s="57">
        <v>21</v>
      </c>
      <c r="B121" s="54" t="str">
        <f>'MC ANALISIS INTERNO'!B123</f>
        <v/>
      </c>
      <c r="C121" s="74" t="str">
        <f>IF(A121&lt;='MC ANALISIS INTERNO'!$F$100,D49+C86,"")</f>
        <v/>
      </c>
      <c r="D121" s="69" t="str">
        <f>'MC ANALISIS INTERNO'!D123</f>
        <v/>
      </c>
      <c r="E121" s="62"/>
      <c r="F121" s="57">
        <v>51</v>
      </c>
      <c r="G121" s="54" t="str">
        <f>'MC ANALISIS INTERNO'!G123</f>
        <v/>
      </c>
      <c r="H121" s="74" t="str">
        <f>IF(F121&lt;='MC ANALISIS INTERNO'!$F$100,I49+G86,"")</f>
        <v/>
      </c>
      <c r="I121" s="69" t="str">
        <f>'MC ANALISIS INTERNO'!I123</f>
        <v/>
      </c>
      <c r="K121" s="57">
        <v>81</v>
      </c>
      <c r="L121" s="54" t="str">
        <f>'MC ANALISIS INTERNO'!L123</f>
        <v/>
      </c>
      <c r="M121" s="74" t="str">
        <f>IF(K121&lt;='MC ANALISIS INTERNO'!$F$100,N49+K86,"")</f>
        <v/>
      </c>
      <c r="N121" s="69" t="str">
        <f>'MC ANALISIS INTERNO'!N123</f>
        <v/>
      </c>
    </row>
    <row r="122" spans="1:14" ht="18.75" x14ac:dyDescent="0.3">
      <c r="A122" s="57">
        <v>22</v>
      </c>
      <c r="B122" s="54" t="str">
        <f>'MC ANALISIS INTERNO'!B124</f>
        <v/>
      </c>
      <c r="C122" s="74" t="str">
        <f>IF(A122&lt;='MC ANALISIS INTERNO'!$F$100,D50+C87,"")</f>
        <v/>
      </c>
      <c r="D122" s="69" t="str">
        <f>'MC ANALISIS INTERNO'!D124</f>
        <v/>
      </c>
      <c r="E122" s="62"/>
      <c r="F122" s="57">
        <v>52</v>
      </c>
      <c r="G122" s="54" t="str">
        <f>'MC ANALISIS INTERNO'!G124</f>
        <v/>
      </c>
      <c r="H122" s="74" t="str">
        <f>IF(F122&lt;='MC ANALISIS INTERNO'!$F$100,I50+G87,"")</f>
        <v/>
      </c>
      <c r="I122" s="69" t="str">
        <f>'MC ANALISIS INTERNO'!I124</f>
        <v/>
      </c>
      <c r="K122" s="57">
        <v>82</v>
      </c>
      <c r="L122" s="54" t="str">
        <f>'MC ANALISIS INTERNO'!L124</f>
        <v/>
      </c>
      <c r="M122" s="74" t="str">
        <f>IF(K122&lt;='MC ANALISIS INTERNO'!$F$100,N50+K87,"")</f>
        <v/>
      </c>
      <c r="N122" s="69" t="str">
        <f>'MC ANALISIS INTERNO'!N124</f>
        <v/>
      </c>
    </row>
    <row r="123" spans="1:14" ht="18.75" x14ac:dyDescent="0.3">
      <c r="A123" s="57">
        <v>23</v>
      </c>
      <c r="B123" s="54" t="str">
        <f>'MC ANALISIS INTERNO'!B125</f>
        <v/>
      </c>
      <c r="C123" s="74" t="str">
        <f>IF(A123&lt;='MC ANALISIS INTERNO'!$F$100,D51+C88,"")</f>
        <v/>
      </c>
      <c r="D123" s="69" t="str">
        <f>'MC ANALISIS INTERNO'!D125</f>
        <v/>
      </c>
      <c r="E123" s="62"/>
      <c r="F123" s="57">
        <v>53</v>
      </c>
      <c r="G123" s="54" t="str">
        <f>'MC ANALISIS INTERNO'!G125</f>
        <v/>
      </c>
      <c r="H123" s="74" t="str">
        <f>IF(F123&lt;='MC ANALISIS INTERNO'!$F$100,I51+G88,"")</f>
        <v/>
      </c>
      <c r="I123" s="69" t="str">
        <f>'MC ANALISIS INTERNO'!I125</f>
        <v/>
      </c>
      <c r="K123" s="57">
        <v>83</v>
      </c>
      <c r="L123" s="54" t="str">
        <f>'MC ANALISIS INTERNO'!L125</f>
        <v/>
      </c>
      <c r="M123" s="74" t="str">
        <f>IF(K123&lt;='MC ANALISIS INTERNO'!$F$100,N51+K88,"")</f>
        <v/>
      </c>
      <c r="N123" s="69" t="str">
        <f>'MC ANALISIS INTERNO'!N125</f>
        <v/>
      </c>
    </row>
    <row r="124" spans="1:14" ht="18.75" x14ac:dyDescent="0.3">
      <c r="A124" s="57">
        <v>24</v>
      </c>
      <c r="B124" s="54" t="str">
        <f>'MC ANALISIS INTERNO'!B126</f>
        <v/>
      </c>
      <c r="C124" s="74" t="str">
        <f>IF(A124&lt;='MC ANALISIS INTERNO'!$F$100,D52+C89,"")</f>
        <v/>
      </c>
      <c r="D124" s="69" t="str">
        <f>'MC ANALISIS INTERNO'!D126</f>
        <v/>
      </c>
      <c r="E124" s="62"/>
      <c r="F124" s="57">
        <v>54</v>
      </c>
      <c r="G124" s="54" t="str">
        <f>'MC ANALISIS INTERNO'!G126</f>
        <v/>
      </c>
      <c r="H124" s="74" t="str">
        <f>IF(F124&lt;='MC ANALISIS INTERNO'!$F$100,I52+G89,"")</f>
        <v/>
      </c>
      <c r="I124" s="69" t="str">
        <f>'MC ANALISIS INTERNO'!I126</f>
        <v/>
      </c>
      <c r="K124" s="57">
        <v>84</v>
      </c>
      <c r="L124" s="54" t="str">
        <f>'MC ANALISIS INTERNO'!L126</f>
        <v/>
      </c>
      <c r="M124" s="74" t="str">
        <f>IF(K124&lt;='MC ANALISIS INTERNO'!$F$100,N52+K89,"")</f>
        <v/>
      </c>
      <c r="N124" s="69" t="str">
        <f>'MC ANALISIS INTERNO'!N126</f>
        <v/>
      </c>
    </row>
    <row r="125" spans="1:14" ht="18.75" x14ac:dyDescent="0.3">
      <c r="A125" s="57">
        <v>25</v>
      </c>
      <c r="B125" s="54" t="str">
        <f>'MC ANALISIS INTERNO'!B127</f>
        <v/>
      </c>
      <c r="C125" s="74" t="str">
        <f>IF(A125&lt;='MC ANALISIS INTERNO'!$F$100,D53+C90,"")</f>
        <v/>
      </c>
      <c r="D125" s="69" t="str">
        <f>'MC ANALISIS INTERNO'!D127</f>
        <v/>
      </c>
      <c r="E125" s="62"/>
      <c r="F125" s="57">
        <v>55</v>
      </c>
      <c r="G125" s="54" t="str">
        <f>'MC ANALISIS INTERNO'!G127</f>
        <v/>
      </c>
      <c r="H125" s="74" t="str">
        <f>IF(F125&lt;='MC ANALISIS INTERNO'!$F$100,I53+G90,"")</f>
        <v/>
      </c>
      <c r="I125" s="69" t="str">
        <f>'MC ANALISIS INTERNO'!I127</f>
        <v/>
      </c>
      <c r="K125" s="57">
        <v>85</v>
      </c>
      <c r="L125" s="54" t="str">
        <f>'MC ANALISIS INTERNO'!L127</f>
        <v/>
      </c>
      <c r="M125" s="74" t="str">
        <f>IF(K125&lt;='MC ANALISIS INTERNO'!$F$100,N53+K90,"")</f>
        <v/>
      </c>
      <c r="N125" s="69" t="str">
        <f>'MC ANALISIS INTERNO'!N127</f>
        <v/>
      </c>
    </row>
    <row r="126" spans="1:14" ht="18.75" x14ac:dyDescent="0.3">
      <c r="A126" s="57">
        <v>26</v>
      </c>
      <c r="B126" s="54" t="str">
        <f>'MC ANALISIS INTERNO'!B128</f>
        <v/>
      </c>
      <c r="C126" s="74" t="str">
        <f>IF(A126&lt;='MC ANALISIS INTERNO'!$F$100,D54+C91,"")</f>
        <v/>
      </c>
      <c r="D126" s="69" t="str">
        <f>'MC ANALISIS INTERNO'!D128</f>
        <v/>
      </c>
      <c r="E126" s="62"/>
      <c r="F126" s="57">
        <v>56</v>
      </c>
      <c r="G126" s="54" t="str">
        <f>'MC ANALISIS INTERNO'!G128</f>
        <v/>
      </c>
      <c r="H126" s="74" t="str">
        <f>IF(F126&lt;='MC ANALISIS INTERNO'!$F$100,I54+G91,"")</f>
        <v/>
      </c>
      <c r="I126" s="69" t="str">
        <f>'MC ANALISIS INTERNO'!I128</f>
        <v/>
      </c>
      <c r="K126" s="57">
        <v>86</v>
      </c>
      <c r="L126" s="54" t="str">
        <f>'MC ANALISIS INTERNO'!L128</f>
        <v/>
      </c>
      <c r="M126" s="74" t="str">
        <f>IF(K126&lt;='MC ANALISIS INTERNO'!$F$100,N54+K91,"")</f>
        <v/>
      </c>
      <c r="N126" s="69" t="str">
        <f>'MC ANALISIS INTERNO'!N128</f>
        <v/>
      </c>
    </row>
    <row r="127" spans="1:14" ht="18.75" x14ac:dyDescent="0.3">
      <c r="A127" s="57">
        <v>27</v>
      </c>
      <c r="B127" s="54" t="str">
        <f>'MC ANALISIS INTERNO'!B129</f>
        <v/>
      </c>
      <c r="C127" s="74" t="str">
        <f>IF(A127&lt;='MC ANALISIS INTERNO'!$F$100,D55+C92,"")</f>
        <v/>
      </c>
      <c r="D127" s="69" t="str">
        <f>'MC ANALISIS INTERNO'!D129</f>
        <v/>
      </c>
      <c r="E127" s="62"/>
      <c r="F127" s="57">
        <v>57</v>
      </c>
      <c r="G127" s="54" t="str">
        <f>'MC ANALISIS INTERNO'!G129</f>
        <v/>
      </c>
      <c r="H127" s="74" t="str">
        <f>IF(F127&lt;='MC ANALISIS INTERNO'!$F$100,I55+G92,"")</f>
        <v/>
      </c>
      <c r="I127" s="69" t="str">
        <f>'MC ANALISIS INTERNO'!I129</f>
        <v/>
      </c>
      <c r="K127" s="57">
        <v>87</v>
      </c>
      <c r="L127" s="54" t="str">
        <f>'MC ANALISIS INTERNO'!L129</f>
        <v/>
      </c>
      <c r="M127" s="74" t="str">
        <f>IF(K127&lt;='MC ANALISIS INTERNO'!$F$100,N55+K92,"")</f>
        <v/>
      </c>
      <c r="N127" s="69" t="str">
        <f>'MC ANALISIS INTERNO'!N129</f>
        <v/>
      </c>
    </row>
    <row r="128" spans="1:14" ht="18.75" x14ac:dyDescent="0.3">
      <c r="A128" s="57">
        <v>28</v>
      </c>
      <c r="B128" s="54" t="str">
        <f>'MC ANALISIS INTERNO'!B130</f>
        <v/>
      </c>
      <c r="C128" s="74" t="str">
        <f>IF(A128&lt;='MC ANALISIS INTERNO'!$F$100,D56+C93,"")</f>
        <v/>
      </c>
      <c r="D128" s="69" t="str">
        <f>'MC ANALISIS INTERNO'!D130</f>
        <v/>
      </c>
      <c r="E128" s="62"/>
      <c r="F128" s="57">
        <v>58</v>
      </c>
      <c r="G128" s="54" t="str">
        <f>'MC ANALISIS INTERNO'!G130</f>
        <v/>
      </c>
      <c r="H128" s="74" t="str">
        <f>IF(F128&lt;='MC ANALISIS INTERNO'!$F$100,I56+G93,"")</f>
        <v/>
      </c>
      <c r="I128" s="69" t="str">
        <f>'MC ANALISIS INTERNO'!I130</f>
        <v/>
      </c>
      <c r="K128" s="57">
        <v>88</v>
      </c>
      <c r="L128" s="54" t="str">
        <f>'MC ANALISIS INTERNO'!L130</f>
        <v/>
      </c>
      <c r="M128" s="74" t="str">
        <f>IF(K128&lt;='MC ANALISIS INTERNO'!$F$100,N56+K93,"")</f>
        <v/>
      </c>
      <c r="N128" s="69" t="str">
        <f>'MC ANALISIS INTERNO'!N130</f>
        <v/>
      </c>
    </row>
    <row r="129" spans="1:19" ht="18.75" x14ac:dyDescent="0.3">
      <c r="A129" s="57">
        <v>29</v>
      </c>
      <c r="B129" s="54" t="str">
        <f>'MC ANALISIS INTERNO'!B131</f>
        <v/>
      </c>
      <c r="C129" s="74" t="str">
        <f>IF(A129&lt;='MC ANALISIS INTERNO'!$F$100,D57+C94,"")</f>
        <v/>
      </c>
      <c r="D129" s="69" t="str">
        <f>'MC ANALISIS INTERNO'!D131</f>
        <v/>
      </c>
      <c r="E129" s="62"/>
      <c r="F129" s="57">
        <v>59</v>
      </c>
      <c r="G129" s="54" t="str">
        <f>'MC ANALISIS INTERNO'!G131</f>
        <v/>
      </c>
      <c r="H129" s="74" t="str">
        <f>IF(F129&lt;='MC ANALISIS INTERNO'!$F$100,I57+G94,"")</f>
        <v/>
      </c>
      <c r="I129" s="69" t="str">
        <f>'MC ANALISIS INTERNO'!I131</f>
        <v/>
      </c>
      <c r="K129" s="57">
        <v>89</v>
      </c>
      <c r="L129" s="54" t="str">
        <f>'MC ANALISIS INTERNO'!L131</f>
        <v/>
      </c>
      <c r="M129" s="74" t="str">
        <f>IF(K129&lt;='MC ANALISIS INTERNO'!$F$100,N57+K94,"")</f>
        <v/>
      </c>
      <c r="N129" s="69" t="str">
        <f>'MC ANALISIS INTERNO'!N131</f>
        <v/>
      </c>
    </row>
    <row r="130" spans="1:19" ht="19.5" thickBot="1" x14ac:dyDescent="0.35">
      <c r="A130" s="58">
        <v>30</v>
      </c>
      <c r="B130" s="59" t="str">
        <f>'MC ANALISIS INTERNO'!B132</f>
        <v/>
      </c>
      <c r="C130" s="75" t="str">
        <f>IF(A130&lt;='MC ANALISIS INTERNO'!$F$100,D58+C95,"")</f>
        <v/>
      </c>
      <c r="D130" s="70" t="str">
        <f>'MC ANALISIS INTERNO'!D132</f>
        <v/>
      </c>
      <c r="E130" s="62"/>
      <c r="F130" s="58">
        <v>60</v>
      </c>
      <c r="G130" s="59" t="str">
        <f>'MC ANALISIS INTERNO'!G132</f>
        <v/>
      </c>
      <c r="H130" s="75" t="str">
        <f>IF(F130&lt;='MC ANALISIS INTERNO'!$F$100,I58+G95,"")</f>
        <v/>
      </c>
      <c r="I130" s="70" t="str">
        <f>'MC ANALISIS INTERNO'!I132</f>
        <v/>
      </c>
      <c r="K130" s="58">
        <v>90</v>
      </c>
      <c r="L130" s="59" t="str">
        <f>'MC ANALISIS INTERNO'!L132</f>
        <v/>
      </c>
      <c r="M130" s="75" t="str">
        <f>IF(K130&lt;='MC ANALISIS INTERNO'!$F$100,N58+K95,"")</f>
        <v/>
      </c>
      <c r="N130" s="70" t="str">
        <f>'MC ANALISIS INTERNO'!N132</f>
        <v/>
      </c>
    </row>
    <row r="133" spans="1:19" x14ac:dyDescent="0.25">
      <c r="A133" s="11" t="s">
        <v>149</v>
      </c>
    </row>
    <row r="134" spans="1:19" ht="15" customHeight="1" x14ac:dyDescent="0.25">
      <c r="A134" s="222" t="s">
        <v>150</v>
      </c>
      <c r="B134" s="222"/>
      <c r="C134" s="222"/>
      <c r="D134" s="222"/>
      <c r="E134" s="222"/>
      <c r="F134" s="222"/>
      <c r="G134" s="222"/>
      <c r="H134" s="222"/>
      <c r="I134" s="222"/>
      <c r="J134" s="222"/>
      <c r="K134" s="222"/>
      <c r="L134" s="222"/>
      <c r="M134" s="222"/>
      <c r="N134" s="222"/>
      <c r="O134" s="32"/>
      <c r="P134" s="32"/>
    </row>
    <row r="135" spans="1:19" ht="18.75" x14ac:dyDescent="0.3">
      <c r="A135" s="222"/>
      <c r="B135" s="222"/>
      <c r="C135" s="222"/>
      <c r="D135" s="222"/>
      <c r="E135" s="222"/>
      <c r="F135" s="222"/>
      <c r="G135" s="222"/>
      <c r="H135" s="222"/>
      <c r="I135" s="222"/>
      <c r="J135" s="222"/>
      <c r="K135" s="222"/>
      <c r="L135" s="222"/>
      <c r="M135" s="222"/>
      <c r="N135" s="222"/>
      <c r="O135" s="32"/>
      <c r="P135" s="32"/>
      <c r="S135" s="8"/>
    </row>
    <row r="136" spans="1:19" x14ac:dyDescent="0.25">
      <c r="A136" s="222"/>
      <c r="B136" s="222"/>
      <c r="C136" s="222"/>
      <c r="D136" s="222"/>
      <c r="E136" s="222"/>
      <c r="F136" s="222"/>
      <c r="G136" s="222"/>
      <c r="H136" s="222"/>
      <c r="I136" s="222"/>
      <c r="J136" s="222"/>
      <c r="K136" s="222"/>
      <c r="L136" s="222"/>
      <c r="M136" s="222"/>
      <c r="N136" s="222"/>
      <c r="O136" s="32"/>
      <c r="P136" s="32"/>
    </row>
    <row r="137" spans="1:19" x14ac:dyDescent="0.25">
      <c r="A137" s="222"/>
      <c r="B137" s="222"/>
      <c r="C137" s="222"/>
      <c r="D137" s="222"/>
      <c r="E137" s="222"/>
      <c r="F137" s="222"/>
      <c r="G137" s="222"/>
      <c r="H137" s="222"/>
      <c r="I137" s="222"/>
      <c r="J137" s="222"/>
      <c r="K137" s="222"/>
      <c r="L137" s="222"/>
      <c r="M137" s="222"/>
      <c r="N137" s="222"/>
      <c r="O137" s="32"/>
      <c r="P137" s="32"/>
    </row>
  </sheetData>
  <mergeCells count="5">
    <mergeCell ref="D1:J2"/>
    <mergeCell ref="D3:J4"/>
    <mergeCell ref="E11:J11"/>
    <mergeCell ref="E12:J12"/>
    <mergeCell ref="A134:N137"/>
  </mergeCells>
  <pageMargins left="0.7" right="0.7" top="0.75" bottom="0.75" header="0.3" footer="0.3"/>
  <pageSetup scale="49" orientation="portrait" r:id="rId1"/>
  <rowBreaks count="1" manualBreakCount="1">
    <brk id="60" max="1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Q74"/>
  <sheetViews>
    <sheetView showGridLines="0" topLeftCell="A28" zoomScale="70" zoomScaleNormal="70" zoomScaleSheetLayoutView="70" workbookViewId="0">
      <selection activeCell="A44" sqref="A44:E55"/>
    </sheetView>
  </sheetViews>
  <sheetFormatPr baseColWidth="10" defaultRowHeight="15" x14ac:dyDescent="0.25"/>
  <sheetData>
    <row r="1" spans="1:11" s="5" customFormat="1" x14ac:dyDescent="0.25">
      <c r="D1" s="214" t="s">
        <v>10</v>
      </c>
      <c r="E1" s="214"/>
      <c r="F1" s="214"/>
      <c r="G1" s="214"/>
      <c r="H1" s="214"/>
      <c r="I1" s="214"/>
      <c r="J1" s="214"/>
    </row>
    <row r="2" spans="1:11" s="5" customFormat="1" x14ac:dyDescent="0.25">
      <c r="D2" s="214"/>
      <c r="E2" s="214"/>
      <c r="F2" s="214"/>
      <c r="G2" s="214"/>
      <c r="H2" s="214"/>
      <c r="I2" s="214"/>
      <c r="J2" s="214"/>
    </row>
    <row r="3" spans="1:11" s="5" customFormat="1" x14ac:dyDescent="0.25">
      <c r="D3" s="214" t="s">
        <v>11</v>
      </c>
      <c r="E3" s="214"/>
      <c r="F3" s="214"/>
      <c r="G3" s="214"/>
      <c r="H3" s="214"/>
      <c r="I3" s="214"/>
      <c r="J3" s="214"/>
    </row>
    <row r="4" spans="1:11" s="5" customFormat="1" x14ac:dyDescent="0.25">
      <c r="D4" s="214"/>
      <c r="E4" s="214"/>
      <c r="F4" s="214"/>
      <c r="G4" s="214"/>
      <c r="H4" s="214"/>
      <c r="I4" s="214"/>
      <c r="J4" s="214"/>
    </row>
    <row r="5" spans="1:11" s="5" customFormat="1" x14ac:dyDescent="0.25"/>
    <row r="6" spans="1:11" s="5" customFormat="1" x14ac:dyDescent="0.25"/>
    <row r="7" spans="1:11" s="5" customFormat="1" x14ac:dyDescent="0.25"/>
    <row r="8" spans="1:11" s="5" customFormat="1" x14ac:dyDescent="0.25"/>
    <row r="9" spans="1:11" s="5" customFormat="1" x14ac:dyDescent="0.25"/>
    <row r="11" spans="1:11" ht="23.25" x14ac:dyDescent="0.35">
      <c r="E11" s="217" t="s">
        <v>152</v>
      </c>
      <c r="F11" s="217"/>
      <c r="G11" s="217"/>
      <c r="H11" s="217"/>
      <c r="I11" s="217"/>
      <c r="J11" s="217"/>
    </row>
    <row r="12" spans="1:11" ht="21" x14ac:dyDescent="0.35">
      <c r="D12" s="213" t="s">
        <v>172</v>
      </c>
      <c r="E12" s="213"/>
      <c r="F12" s="213"/>
      <c r="G12" s="213"/>
      <c r="H12" s="213"/>
      <c r="I12" s="213"/>
      <c r="J12" s="213"/>
      <c r="K12" s="213"/>
    </row>
    <row r="14" spans="1:11" ht="18.75" x14ac:dyDescent="0.3">
      <c r="A14" s="193" t="s">
        <v>157</v>
      </c>
      <c r="B14" s="193"/>
      <c r="C14" s="193"/>
      <c r="D14" s="193"/>
      <c r="E14" s="193"/>
      <c r="F14" s="193"/>
      <c r="G14" s="193"/>
      <c r="H14" s="193"/>
      <c r="I14" s="193"/>
      <c r="J14" s="193"/>
    </row>
    <row r="19" spans="2:5" x14ac:dyDescent="0.25">
      <c r="B19" t="s">
        <v>154</v>
      </c>
    </row>
    <row r="21" spans="2:5" x14ac:dyDescent="0.25">
      <c r="C21" s="4" t="s">
        <v>155</v>
      </c>
      <c r="D21">
        <f>'MC ANALISIS EXTERNO'!$C$75</f>
        <v>0.21760000000000002</v>
      </c>
    </row>
    <row r="27" spans="2:5" ht="18.75" x14ac:dyDescent="0.35">
      <c r="C27" s="4" t="s">
        <v>215</v>
      </c>
      <c r="D27" s="34">
        <f>(('GEOMETRIA DEL MURO'!F10^2)*TAN(RADIANS(90-(45+('PROPIEDADES DE LOS SUELOS'!C26/2)))))/2</f>
        <v>4.0163082801041723</v>
      </c>
      <c r="E27" t="s">
        <v>214</v>
      </c>
    </row>
    <row r="30" spans="2:5" ht="18" x14ac:dyDescent="0.35">
      <c r="C30" s="4" t="s">
        <v>156</v>
      </c>
      <c r="D30" s="34">
        <f>D27*'PROPIEDADES DE LOS SUELOS'!C24</f>
        <v>72.293549041875096</v>
      </c>
      <c r="E30" t="s">
        <v>8</v>
      </c>
    </row>
    <row r="33" spans="1:17" x14ac:dyDescent="0.25">
      <c r="B33" t="s">
        <v>22</v>
      </c>
    </row>
    <row r="34" spans="1:17" ht="18" x14ac:dyDescent="0.35">
      <c r="C34" s="10" t="s">
        <v>216</v>
      </c>
      <c r="D34" s="12">
        <f>D21*D30</f>
        <v>15.731076271512022</v>
      </c>
      <c r="E34" s="11" t="s">
        <v>8</v>
      </c>
    </row>
    <row r="38" spans="1:17" ht="18.75" x14ac:dyDescent="0.3">
      <c r="A38" s="8" t="s">
        <v>158</v>
      </c>
    </row>
    <row r="43" spans="1:17" ht="15.75" thickBot="1" x14ac:dyDescent="0.3"/>
    <row r="44" spans="1:17" x14ac:dyDescent="0.25">
      <c r="A44" s="55" t="s">
        <v>144</v>
      </c>
      <c r="B44" s="56" t="s">
        <v>159</v>
      </c>
      <c r="C44" s="56" t="s">
        <v>162</v>
      </c>
      <c r="D44" s="56" t="s">
        <v>160</v>
      </c>
      <c r="E44" s="66" t="s">
        <v>161</v>
      </c>
      <c r="G44" s="55" t="s">
        <v>144</v>
      </c>
      <c r="H44" s="56" t="s">
        <v>159</v>
      </c>
      <c r="I44" s="56" t="s">
        <v>162</v>
      </c>
      <c r="J44" s="56" t="s">
        <v>160</v>
      </c>
      <c r="K44" s="66" t="s">
        <v>161</v>
      </c>
      <c r="M44" s="55" t="s">
        <v>144</v>
      </c>
      <c r="N44" s="56" t="s">
        <v>159</v>
      </c>
      <c r="O44" s="56" t="s">
        <v>162</v>
      </c>
      <c r="P44" s="56" t="s">
        <v>160</v>
      </c>
      <c r="Q44" s="66" t="s">
        <v>161</v>
      </c>
    </row>
    <row r="45" spans="1:17" x14ac:dyDescent="0.25">
      <c r="A45" s="57">
        <v>1</v>
      </c>
      <c r="B45" s="54">
        <f>DISEÑO!D29</f>
        <v>1.549077426802973</v>
      </c>
      <c r="C45" s="54">
        <f>'MC ANALISIS INTERNO'!D103</f>
        <v>5.666666666666667</v>
      </c>
      <c r="D45" s="54">
        <f>IF(A45&lt;='MC ANALISIS INTERNO'!$F$100,$D$34*(B45/((SUM($B$45:$B$74))+(SUM($H$45:$H$74))+(SUM($N$45:$N$74)))),"")</f>
        <v>3.2280308935492337</v>
      </c>
      <c r="E45" s="67">
        <f>IF(D45=0,C45+D45,IF(A45&lt;='MC ANALISIS INTERNO'!$F$100,C45+D45,""))</f>
        <v>8.8946975602159011</v>
      </c>
      <c r="G45" s="57">
        <v>31</v>
      </c>
      <c r="H45" s="54" t="str">
        <f>DISEÑO!I29</f>
        <v/>
      </c>
      <c r="I45" s="54" t="str">
        <f>DISEÑO!I101</f>
        <v/>
      </c>
      <c r="J45" s="54" t="str">
        <f>IF(G45&lt;='MC ANALISIS INTERNO'!$F$100,$D$34*(H45/((SUM($B$45:$B$74))+(SUM($H$45:$H$74))+(SUM($N$45:$N$74)))),"")</f>
        <v/>
      </c>
      <c r="K45" s="67" t="str">
        <f>IF(J45=0,I45+J45,IF(G45&lt;='MC ANALISIS INTERNO'!$F$100,I45+J45,""))</f>
        <v/>
      </c>
      <c r="M45" s="57">
        <v>61</v>
      </c>
      <c r="N45" s="54" t="str">
        <f>DISEÑO!N29</f>
        <v/>
      </c>
      <c r="O45" s="54" t="str">
        <f>DISEÑO!N101</f>
        <v/>
      </c>
      <c r="P45" s="54" t="str">
        <f>IF(M45&lt;='MC ANALISIS INTERNO'!$F$100,$D$34*(N45/((SUM($B$45:$B$74))+(SUM($H$45:$H$74))+(SUM($N$45:$N$74)))),"")</f>
        <v/>
      </c>
      <c r="Q45" s="67" t="str">
        <f>IF(P45=0,O45+P45,IF(M45&lt;='MC ANALISIS INTERNO'!$F$100,O45+P45,""))</f>
        <v/>
      </c>
    </row>
    <row r="46" spans="1:17" x14ac:dyDescent="0.25">
      <c r="A46" s="57">
        <v>2</v>
      </c>
      <c r="B46" s="54">
        <f>DISEÑO!D30</f>
        <v>1</v>
      </c>
      <c r="C46" s="54">
        <f>'MC ANALISIS INTERNO'!D104</f>
        <v>7.1666666666666679</v>
      </c>
      <c r="D46" s="54">
        <f>IF(A46&lt;='MC ANALISIS INTERNO'!$F$100,$D$34*(B46/((SUM($B$45:$B$74))+(SUM($H$45:$H$74))+(SUM($N$45:$N$74)))),"")</f>
        <v>2.0838408963271315</v>
      </c>
      <c r="E46" s="67">
        <f>IF(D46=0,C46+D46,IF(A46&lt;='MC ANALISIS INTERNO'!$F$100,C46+D46,""))</f>
        <v>9.2505075629937998</v>
      </c>
      <c r="G46" s="57">
        <v>32</v>
      </c>
      <c r="H46" s="54" t="str">
        <f>DISEÑO!I30</f>
        <v/>
      </c>
      <c r="I46" s="54" t="str">
        <f>DISEÑO!I102</f>
        <v/>
      </c>
      <c r="J46" s="54" t="str">
        <f>IF(G46&lt;='MC ANALISIS INTERNO'!$F$100,$D$34*(H46/((SUM($B$45:$B$74))+(SUM($H$45:$H$74))+(SUM($N$45:$N$74)))),"")</f>
        <v/>
      </c>
      <c r="K46" s="67" t="str">
        <f>IF(J46=0,I46+J46,IF(G46&lt;='MC ANALISIS INTERNO'!$F$100,I46+J46,""))</f>
        <v/>
      </c>
      <c r="M46" s="57">
        <v>62</v>
      </c>
      <c r="N46" s="54" t="str">
        <f>DISEÑO!N30</f>
        <v/>
      </c>
      <c r="O46" s="54" t="str">
        <f>DISEÑO!N102</f>
        <v/>
      </c>
      <c r="P46" s="54" t="str">
        <f>IF(M46&lt;='MC ANALISIS INTERNO'!$F$100,$D$34*(N46/((SUM($B$45:$B$74))+(SUM($H$45:$H$74))+(SUM($N$45:$N$74)))),"")</f>
        <v/>
      </c>
      <c r="Q46" s="67" t="str">
        <f>IF(P46=0,O46+P46,IF(M46&lt;='MC ANALISIS INTERNO'!$F$100,O46+P46,""))</f>
        <v/>
      </c>
    </row>
    <row r="47" spans="1:17" x14ac:dyDescent="0.25">
      <c r="A47" s="57">
        <v>3</v>
      </c>
      <c r="B47" s="54">
        <f>DISEÑO!D31</f>
        <v>1</v>
      </c>
      <c r="C47" s="54">
        <f>'MC ANALISIS INTERNO'!D105</f>
        <v>8.6666666666666679</v>
      </c>
      <c r="D47" s="54">
        <f>IF(A47&lt;='MC ANALISIS INTERNO'!$F$100,$D$34*(B47/((SUM($B$45:$B$74))+(SUM($H$45:$H$74))+(SUM($N$45:$N$74)))),"")</f>
        <v>2.0838408963271315</v>
      </c>
      <c r="E47" s="67">
        <f>IF(D47=0,C47+D47,IF(A47&lt;='MC ANALISIS INTERNO'!$F$100,C47+D47,""))</f>
        <v>10.7505075629938</v>
      </c>
      <c r="G47" s="57">
        <v>33</v>
      </c>
      <c r="H47" s="54" t="str">
        <f>DISEÑO!I31</f>
        <v/>
      </c>
      <c r="I47" s="54" t="str">
        <f>DISEÑO!I103</f>
        <v/>
      </c>
      <c r="J47" s="54" t="str">
        <f>IF(G47&lt;='MC ANALISIS INTERNO'!$F$100,$D$34*(H47/((SUM($B$45:$B$74))+(SUM($H$45:$H$74))+(SUM($N$45:$N$74)))),"")</f>
        <v/>
      </c>
      <c r="K47" s="67" t="str">
        <f>IF(J47=0,I47+J47,IF(G47&lt;='MC ANALISIS INTERNO'!$F$100,I47+J47,""))</f>
        <v/>
      </c>
      <c r="M47" s="57">
        <v>63</v>
      </c>
      <c r="N47" s="54" t="str">
        <f>DISEÑO!N31</f>
        <v/>
      </c>
      <c r="O47" s="54" t="str">
        <f>DISEÑO!N103</f>
        <v/>
      </c>
      <c r="P47" s="54" t="str">
        <f>IF(M47&lt;='MC ANALISIS INTERNO'!$F$100,$D$34*(N47/((SUM($B$45:$B$74))+(SUM($H$45:$H$74))+(SUM($N$45:$N$74)))),"")</f>
        <v/>
      </c>
      <c r="Q47" s="67" t="str">
        <f>IF(P47=0,O47+P47,IF(M47&lt;='MC ANALISIS INTERNO'!$F$100,O47+P47,""))</f>
        <v/>
      </c>
    </row>
    <row r="48" spans="1:17" x14ac:dyDescent="0.25">
      <c r="A48" s="57">
        <v>4</v>
      </c>
      <c r="B48" s="54">
        <f>DISEÑO!D32</f>
        <v>1</v>
      </c>
      <c r="C48" s="54">
        <f>'MC ANALISIS INTERNO'!D106</f>
        <v>10.166666666666668</v>
      </c>
      <c r="D48" s="54">
        <f>IF(A48&lt;='MC ANALISIS INTERNO'!$F$100,$D$34*(B48/((SUM($B$45:$B$74))+(SUM($H$45:$H$74))+(SUM($N$45:$N$74)))),"")</f>
        <v>2.0838408963271315</v>
      </c>
      <c r="E48" s="67">
        <f>IF(D48=0,C48+D48,IF(A48&lt;='MC ANALISIS INTERNO'!$F$100,C48+D48,""))</f>
        <v>12.2505075629938</v>
      </c>
      <c r="G48" s="57">
        <v>34</v>
      </c>
      <c r="H48" s="54" t="str">
        <f>DISEÑO!I32</f>
        <v/>
      </c>
      <c r="I48" s="54" t="str">
        <f>DISEÑO!I104</f>
        <v/>
      </c>
      <c r="J48" s="54" t="str">
        <f>IF(G48&lt;='MC ANALISIS INTERNO'!$F$100,$D$34*(H48/((SUM($B$45:$B$74))+(SUM($H$45:$H$74))+(SUM($N$45:$N$74)))),"")</f>
        <v/>
      </c>
      <c r="K48" s="67" t="str">
        <f>IF(J48=0,I48+J48,IF(G48&lt;='MC ANALISIS INTERNO'!$F$100,I48+J48,""))</f>
        <v/>
      </c>
      <c r="M48" s="57">
        <v>64</v>
      </c>
      <c r="N48" s="54" t="str">
        <f>DISEÑO!N32</f>
        <v/>
      </c>
      <c r="O48" s="54" t="str">
        <f>DISEÑO!N104</f>
        <v/>
      </c>
      <c r="P48" s="54" t="str">
        <f>IF(M48&lt;='MC ANALISIS INTERNO'!$F$100,$D$34*(N48/((SUM($B$45:$B$74))+(SUM($H$45:$H$74))+(SUM($N$45:$N$74)))),"")</f>
        <v/>
      </c>
      <c r="Q48" s="67" t="str">
        <f>IF(P48=0,O48+P48,IF(M48&lt;='MC ANALISIS INTERNO'!$F$100,O48+P48,""))</f>
        <v/>
      </c>
    </row>
    <row r="49" spans="1:17" x14ac:dyDescent="0.25">
      <c r="A49" s="57">
        <v>5</v>
      </c>
      <c r="B49" s="54">
        <f>DISEÑO!D33</f>
        <v>1</v>
      </c>
      <c r="C49" s="54">
        <f>'MC ANALISIS INTERNO'!D107</f>
        <v>11.666666666666668</v>
      </c>
      <c r="D49" s="54">
        <f>IF(A49&lt;='MC ANALISIS INTERNO'!$F$100,$D$34*(B49/((SUM($B$45:$B$74))+(SUM($H$45:$H$74))+(SUM($N$45:$N$74)))),"")</f>
        <v>2.0838408963271315</v>
      </c>
      <c r="E49" s="67">
        <f>IF(D49=0,C49+D49,IF(A49&lt;='MC ANALISIS INTERNO'!$F$100,C49+D49,""))</f>
        <v>13.7505075629938</v>
      </c>
      <c r="G49" s="57">
        <v>35</v>
      </c>
      <c r="H49" s="54" t="str">
        <f>DISEÑO!I33</f>
        <v/>
      </c>
      <c r="I49" s="54" t="str">
        <f>DISEÑO!I105</f>
        <v/>
      </c>
      <c r="J49" s="54" t="str">
        <f>IF(G49&lt;='MC ANALISIS INTERNO'!$F$100,$D$34*(H49/((SUM($B$45:$B$74))+(SUM($H$45:$H$74))+(SUM($N$45:$N$74)))),"")</f>
        <v/>
      </c>
      <c r="K49" s="67" t="str">
        <f>IF(J49=0,I49+J49,IF(G49&lt;='MC ANALISIS INTERNO'!$F$100,I49+J49,""))</f>
        <v/>
      </c>
      <c r="M49" s="57">
        <v>65</v>
      </c>
      <c r="N49" s="54" t="str">
        <f>DISEÑO!N33</f>
        <v/>
      </c>
      <c r="O49" s="54" t="str">
        <f>DISEÑO!N105</f>
        <v/>
      </c>
      <c r="P49" s="54" t="str">
        <f>IF(M49&lt;='MC ANALISIS INTERNO'!$F$100,$D$34*(N49/((SUM($B$45:$B$74))+(SUM($H$45:$H$74))+(SUM($N$45:$N$74)))),"")</f>
        <v/>
      </c>
      <c r="Q49" s="67" t="str">
        <f>IF(P49=0,O49+P49,IF(M49&lt;='MC ANALISIS INTERNO'!$F$100,O49+P49,""))</f>
        <v/>
      </c>
    </row>
    <row r="50" spans="1:17" x14ac:dyDescent="0.25">
      <c r="A50" s="57">
        <v>6</v>
      </c>
      <c r="B50" s="54">
        <f>DISEÑO!D34</f>
        <v>1</v>
      </c>
      <c r="C50" s="54">
        <f>'MC ANALISIS INTERNO'!D108</f>
        <v>13.166666666666668</v>
      </c>
      <c r="D50" s="54">
        <f>IF(A50&lt;='MC ANALISIS INTERNO'!$F$100,$D$34*(B50/((SUM($B$45:$B$74))+(SUM($H$45:$H$74))+(SUM($N$45:$N$74)))),"")</f>
        <v>2.0838408963271315</v>
      </c>
      <c r="E50" s="67">
        <f>IF(D50=0,C50+D50,IF(A50&lt;='MC ANALISIS INTERNO'!$F$100,C50+D50,""))</f>
        <v>15.2505075629938</v>
      </c>
      <c r="G50" s="57">
        <v>36</v>
      </c>
      <c r="H50" s="54" t="str">
        <f>DISEÑO!I34</f>
        <v/>
      </c>
      <c r="I50" s="54" t="str">
        <f>DISEÑO!I106</f>
        <v/>
      </c>
      <c r="J50" s="54" t="str">
        <f>IF(G50&lt;='MC ANALISIS INTERNO'!$F$100,$D$34*(H50/((SUM($B$45:$B$74))+(SUM($H$45:$H$74))+(SUM($N$45:$N$74)))),"")</f>
        <v/>
      </c>
      <c r="K50" s="67" t="str">
        <f>IF(J50=0,I50+J50,IF(G50&lt;='MC ANALISIS INTERNO'!$F$100,I50+J50,""))</f>
        <v/>
      </c>
      <c r="M50" s="57">
        <v>66</v>
      </c>
      <c r="N50" s="54" t="str">
        <f>DISEÑO!N34</f>
        <v/>
      </c>
      <c r="O50" s="54" t="str">
        <f>DISEÑO!N106</f>
        <v/>
      </c>
      <c r="P50" s="54" t="str">
        <f>IF(M50&lt;='MC ANALISIS INTERNO'!$F$100,$D$34*(N50/((SUM($B$45:$B$74))+(SUM($H$45:$H$74))+(SUM($N$45:$N$74)))),"")</f>
        <v/>
      </c>
      <c r="Q50" s="67" t="str">
        <f>IF(P50=0,O50+P50,IF(M50&lt;='MC ANALISIS INTERNO'!$F$100,O50+P50,""))</f>
        <v/>
      </c>
    </row>
    <row r="51" spans="1:17" x14ac:dyDescent="0.25">
      <c r="A51" s="57">
        <v>7</v>
      </c>
      <c r="B51" s="54">
        <f>DISEÑO!D35</f>
        <v>1</v>
      </c>
      <c r="C51" s="54">
        <f>'MC ANALISIS INTERNO'!D109</f>
        <v>14.666666666666668</v>
      </c>
      <c r="D51" s="54">
        <f>IF(A51&lt;='MC ANALISIS INTERNO'!$F$100,$D$34*(B51/((SUM($B$45:$B$74))+(SUM($H$45:$H$74))+(SUM($N$45:$N$74)))),"")</f>
        <v>2.0838408963271315</v>
      </c>
      <c r="E51" s="67">
        <f>IF(D51=0,C51+D51,IF(A51&lt;='MC ANALISIS INTERNO'!$F$100,C51+D51,""))</f>
        <v>16.7505075629938</v>
      </c>
      <c r="G51" s="57">
        <v>37</v>
      </c>
      <c r="H51" s="54" t="str">
        <f>DISEÑO!I35</f>
        <v/>
      </c>
      <c r="I51" s="54" t="str">
        <f>DISEÑO!I107</f>
        <v/>
      </c>
      <c r="J51" s="54" t="str">
        <f>IF(G51&lt;='MC ANALISIS INTERNO'!$F$100,$D$34*(H51/((SUM($B$45:$B$74))+(SUM($H$45:$H$74))+(SUM($N$45:$N$74)))),"")</f>
        <v/>
      </c>
      <c r="K51" s="67" t="str">
        <f>IF(J51=0,I51+J51,IF(G51&lt;='MC ANALISIS INTERNO'!$F$100,I51+J51,""))</f>
        <v/>
      </c>
      <c r="M51" s="57">
        <v>67</v>
      </c>
      <c r="N51" s="54" t="str">
        <f>DISEÑO!N35</f>
        <v/>
      </c>
      <c r="O51" s="54" t="str">
        <f>DISEÑO!N107</f>
        <v/>
      </c>
      <c r="P51" s="54" t="str">
        <f>IF(M51&lt;='MC ANALISIS INTERNO'!$F$100,$D$34*(N51/((SUM($B$45:$B$74))+(SUM($H$45:$H$74))+(SUM($N$45:$N$74)))),"")</f>
        <v/>
      </c>
      <c r="Q51" s="67" t="str">
        <f>IF(P51=0,O51+P51,IF(M51&lt;='MC ANALISIS INTERNO'!$F$100,O51+P51,""))</f>
        <v/>
      </c>
    </row>
    <row r="52" spans="1:17" x14ac:dyDescent="0.25">
      <c r="A52" s="57">
        <v>8</v>
      </c>
      <c r="B52" s="54" t="str">
        <f>DISEÑO!D36</f>
        <v/>
      </c>
      <c r="C52" s="54" t="str">
        <f>'MC ANALISIS INTERNO'!D110</f>
        <v/>
      </c>
      <c r="D52" s="54" t="str">
        <f>IF(A52&lt;='MC ANALISIS INTERNO'!$F$100,$D$34*(B52/((SUM($B$45:$B$74))+(SUM($H$45:$H$74))+(SUM($N$45:$N$74)))),"")</f>
        <v/>
      </c>
      <c r="E52" s="67" t="str">
        <f>IF(D52=0,C52+D52,IF(A52&lt;='MC ANALISIS INTERNO'!$F$100,C52+D52,""))</f>
        <v/>
      </c>
      <c r="G52" s="57">
        <v>38</v>
      </c>
      <c r="H52" s="54" t="str">
        <f>DISEÑO!I36</f>
        <v/>
      </c>
      <c r="I52" s="54" t="str">
        <f>DISEÑO!I108</f>
        <v/>
      </c>
      <c r="J52" s="54" t="str">
        <f>IF(G52&lt;='MC ANALISIS INTERNO'!$F$100,$D$34*(H52/((SUM($B$45:$B$74))+(SUM($H$45:$H$74))+(SUM($N$45:$N$74)))),"")</f>
        <v/>
      </c>
      <c r="K52" s="67" t="str">
        <f>IF(J52=0,I52+J52,IF(G52&lt;='MC ANALISIS INTERNO'!$F$100,I52+J52,""))</f>
        <v/>
      </c>
      <c r="M52" s="57">
        <v>68</v>
      </c>
      <c r="N52" s="54" t="str">
        <f>DISEÑO!N36</f>
        <v/>
      </c>
      <c r="O52" s="54" t="str">
        <f>DISEÑO!N108</f>
        <v/>
      </c>
      <c r="P52" s="54" t="str">
        <f>IF(M52&lt;='MC ANALISIS INTERNO'!$F$100,$D$34*(N52/((SUM($B$45:$B$74))+(SUM($H$45:$H$74))+(SUM($N$45:$N$74)))),"")</f>
        <v/>
      </c>
      <c r="Q52" s="67" t="str">
        <f>IF(P52=0,O52+P52,IF(M52&lt;='MC ANALISIS INTERNO'!$F$100,O52+P52,""))</f>
        <v/>
      </c>
    </row>
    <row r="53" spans="1:17" x14ac:dyDescent="0.25">
      <c r="A53" s="57">
        <v>9</v>
      </c>
      <c r="B53" s="54" t="str">
        <f>DISEÑO!D37</f>
        <v/>
      </c>
      <c r="C53" s="54" t="str">
        <f>'MC ANALISIS INTERNO'!D111</f>
        <v/>
      </c>
      <c r="D53" s="54" t="str">
        <f>IF(A53&lt;='MC ANALISIS INTERNO'!$F$100,$D$34*(B53/((SUM($B$45:$B$74))+(SUM($H$45:$H$74))+(SUM($N$45:$N$74)))),"")</f>
        <v/>
      </c>
      <c r="E53" s="67" t="str">
        <f>IF(D53=0,C53+D53,IF(A53&lt;='MC ANALISIS INTERNO'!$F$100,C53+D53,""))</f>
        <v/>
      </c>
      <c r="G53" s="57">
        <v>39</v>
      </c>
      <c r="H53" s="54" t="str">
        <f>DISEÑO!I37</f>
        <v/>
      </c>
      <c r="I53" s="54" t="str">
        <f>DISEÑO!I109</f>
        <v/>
      </c>
      <c r="J53" s="54" t="str">
        <f>IF(G53&lt;='MC ANALISIS INTERNO'!$F$100,$D$34*(H53/((SUM($B$45:$B$74))+(SUM($H$45:$H$74))+(SUM($N$45:$N$74)))),"")</f>
        <v/>
      </c>
      <c r="K53" s="67" t="str">
        <f>IF(J53=0,I53+J53,IF(G53&lt;='MC ANALISIS INTERNO'!$F$100,I53+J53,""))</f>
        <v/>
      </c>
      <c r="M53" s="57">
        <v>69</v>
      </c>
      <c r="N53" s="54" t="str">
        <f>DISEÑO!N37</f>
        <v/>
      </c>
      <c r="O53" s="54" t="str">
        <f>DISEÑO!N109</f>
        <v/>
      </c>
      <c r="P53" s="54" t="str">
        <f>IF(M53&lt;='MC ANALISIS INTERNO'!$F$100,$D$34*(N53/((SUM($B$45:$B$74))+(SUM($H$45:$H$74))+(SUM($N$45:$N$74)))),"")</f>
        <v/>
      </c>
      <c r="Q53" s="67" t="str">
        <f>IF(P53=0,O53+P53,IF(M53&lt;='MC ANALISIS INTERNO'!$F$100,O53+P53,""))</f>
        <v/>
      </c>
    </row>
    <row r="54" spans="1:17" x14ac:dyDescent="0.25">
      <c r="A54" s="57">
        <v>10</v>
      </c>
      <c r="B54" s="54" t="str">
        <f>DISEÑO!D38</f>
        <v/>
      </c>
      <c r="C54" s="54" t="str">
        <f>'MC ANALISIS INTERNO'!D112</f>
        <v/>
      </c>
      <c r="D54" s="54" t="str">
        <f>IF(A54&lt;='MC ANALISIS INTERNO'!$F$100,$D$34*(B54/((SUM($B$45:$B$74))+(SUM($H$45:$H$74))+(SUM($N$45:$N$74)))),"")</f>
        <v/>
      </c>
      <c r="E54" s="67" t="str">
        <f>IF(D54=0,C54+D54,IF(A54&lt;='MC ANALISIS INTERNO'!$F$100,C54+D54,""))</f>
        <v/>
      </c>
      <c r="G54" s="57">
        <v>40</v>
      </c>
      <c r="H54" s="54" t="str">
        <f>DISEÑO!I38</f>
        <v/>
      </c>
      <c r="I54" s="54" t="str">
        <f>DISEÑO!I110</f>
        <v/>
      </c>
      <c r="J54" s="54" t="str">
        <f>IF(G54&lt;='MC ANALISIS INTERNO'!$F$100,$D$34*(H54/((SUM($B$45:$B$74))+(SUM($H$45:$H$74))+(SUM($N$45:$N$74)))),"")</f>
        <v/>
      </c>
      <c r="K54" s="67" t="str">
        <f>IF(J54=0,I54+J54,IF(G54&lt;='MC ANALISIS INTERNO'!$F$100,I54+J54,""))</f>
        <v/>
      </c>
      <c r="M54" s="57">
        <v>70</v>
      </c>
      <c r="N54" s="54" t="str">
        <f>DISEÑO!N38</f>
        <v/>
      </c>
      <c r="O54" s="54" t="str">
        <f>DISEÑO!N110</f>
        <v/>
      </c>
      <c r="P54" s="54" t="str">
        <f>IF(M54&lt;='MC ANALISIS INTERNO'!$F$100,$D$34*(N54/((SUM($B$45:$B$74))+(SUM($H$45:$H$74))+(SUM($N$45:$N$74)))),"")</f>
        <v/>
      </c>
      <c r="Q54" s="67" t="str">
        <f>IF(P54=0,O54+P54,IF(M54&lt;='MC ANALISIS INTERNO'!$F$100,O54+P54,""))</f>
        <v/>
      </c>
    </row>
    <row r="55" spans="1:17" x14ac:dyDescent="0.25">
      <c r="A55" s="57">
        <v>11</v>
      </c>
      <c r="B55" s="54" t="str">
        <f>DISEÑO!D39</f>
        <v/>
      </c>
      <c r="C55" s="54" t="str">
        <f>'MC ANALISIS INTERNO'!D113</f>
        <v/>
      </c>
      <c r="D55" s="54" t="str">
        <f>IF(A55&lt;='MC ANALISIS INTERNO'!$F$100,$D$34*(B55/((SUM($B$45:$B$74))+(SUM($H$45:$H$74))+(SUM($N$45:$N$74)))),"")</f>
        <v/>
      </c>
      <c r="E55" s="67" t="str">
        <f>IF(D55=0,C55+D55,IF(A55&lt;='MC ANALISIS INTERNO'!$F$100,C55+D55,""))</f>
        <v/>
      </c>
      <c r="G55" s="57">
        <v>41</v>
      </c>
      <c r="H55" s="54" t="str">
        <f>DISEÑO!I39</f>
        <v/>
      </c>
      <c r="I55" s="54" t="str">
        <f>DISEÑO!I111</f>
        <v/>
      </c>
      <c r="J55" s="54" t="str">
        <f>IF(G55&lt;='MC ANALISIS INTERNO'!$F$100,$D$34*(H55/((SUM($B$45:$B$74))+(SUM($H$45:$H$74))+(SUM($N$45:$N$74)))),"")</f>
        <v/>
      </c>
      <c r="K55" s="67" t="str">
        <f>IF(J55=0,I55+J55,IF(G55&lt;='MC ANALISIS INTERNO'!$F$100,I55+J55,""))</f>
        <v/>
      </c>
      <c r="M55" s="57">
        <v>71</v>
      </c>
      <c r="N55" s="54" t="str">
        <f>DISEÑO!N39</f>
        <v/>
      </c>
      <c r="O55" s="54" t="str">
        <f>DISEÑO!N111</f>
        <v/>
      </c>
      <c r="P55" s="54" t="str">
        <f>IF(M55&lt;='MC ANALISIS INTERNO'!$F$100,$D$34*(N55/((SUM($B$45:$B$74))+(SUM($H$45:$H$74))+(SUM($N$45:$N$74)))),"")</f>
        <v/>
      </c>
      <c r="Q55" s="67" t="str">
        <f>IF(P55=0,O55+P55,IF(M55&lt;='MC ANALISIS INTERNO'!$F$100,O55+P55,""))</f>
        <v/>
      </c>
    </row>
    <row r="56" spans="1:17" x14ac:dyDescent="0.25">
      <c r="A56" s="57">
        <v>12</v>
      </c>
      <c r="B56" s="54" t="str">
        <f>DISEÑO!D40</f>
        <v/>
      </c>
      <c r="C56" s="54" t="str">
        <f>'MC ANALISIS INTERNO'!D114</f>
        <v/>
      </c>
      <c r="D56" s="54" t="str">
        <f>IF(A56&lt;='MC ANALISIS INTERNO'!$F$100,$D$34*(B56/((SUM($B$45:$B$74))+(SUM($H$45:$H$74))+(SUM($N$45:$N$74)))),"")</f>
        <v/>
      </c>
      <c r="E56" s="67" t="str">
        <f>IF(D56=0,C56+D56,IF(A56&lt;='MC ANALISIS INTERNO'!$F$100,C56+D56,""))</f>
        <v/>
      </c>
      <c r="G56" s="57">
        <v>42</v>
      </c>
      <c r="H56" s="54" t="str">
        <f>DISEÑO!I40</f>
        <v/>
      </c>
      <c r="I56" s="54" t="str">
        <f>DISEÑO!I112</f>
        <v/>
      </c>
      <c r="J56" s="54" t="str">
        <f>IF(G56&lt;='MC ANALISIS INTERNO'!$F$100,$D$34*(H56/((SUM($B$45:$B$74))+(SUM($H$45:$H$74))+(SUM($N$45:$N$74)))),"")</f>
        <v/>
      </c>
      <c r="K56" s="67" t="str">
        <f>IF(J56=0,I56+J56,IF(G56&lt;='MC ANALISIS INTERNO'!$F$100,I56+J56,""))</f>
        <v/>
      </c>
      <c r="M56" s="57">
        <v>72</v>
      </c>
      <c r="N56" s="54" t="str">
        <f>DISEÑO!N40</f>
        <v/>
      </c>
      <c r="O56" s="54" t="str">
        <f>DISEÑO!N112</f>
        <v/>
      </c>
      <c r="P56" s="54" t="str">
        <f>IF(M56&lt;='MC ANALISIS INTERNO'!$F$100,$D$34*(N56/((SUM($B$45:$B$74))+(SUM($H$45:$H$74))+(SUM($N$45:$N$74)))),"")</f>
        <v/>
      </c>
      <c r="Q56" s="67" t="str">
        <f>IF(P56=0,O56+P56,IF(M56&lt;='MC ANALISIS INTERNO'!$F$100,O56+P56,""))</f>
        <v/>
      </c>
    </row>
    <row r="57" spans="1:17" x14ac:dyDescent="0.25">
      <c r="A57" s="57">
        <v>13</v>
      </c>
      <c r="B57" s="54" t="str">
        <f>DISEÑO!D41</f>
        <v/>
      </c>
      <c r="C57" s="54" t="str">
        <f>'MC ANALISIS INTERNO'!D115</f>
        <v/>
      </c>
      <c r="D57" s="54" t="str">
        <f>IF(A57&lt;='MC ANALISIS INTERNO'!$F$100,$D$34*(B57/((SUM($B$45:$B$74))+(SUM($H$45:$H$74))+(SUM($N$45:$N$74)))),"")</f>
        <v/>
      </c>
      <c r="E57" s="67" t="str">
        <f>IF(D57=0,C57+D57,IF(A57&lt;='MC ANALISIS INTERNO'!$F$100,C57+D57,""))</f>
        <v/>
      </c>
      <c r="G57" s="57">
        <v>43</v>
      </c>
      <c r="H57" s="54" t="str">
        <f>DISEÑO!I41</f>
        <v/>
      </c>
      <c r="I57" s="54" t="str">
        <f>DISEÑO!I113</f>
        <v/>
      </c>
      <c r="J57" s="54" t="str">
        <f>IF(G57&lt;='MC ANALISIS INTERNO'!$F$100,$D$34*(H57/((SUM($B$45:$B$74))+(SUM($H$45:$H$74))+(SUM($N$45:$N$74)))),"")</f>
        <v/>
      </c>
      <c r="K57" s="67" t="str">
        <f>IF(J57=0,I57+J57,IF(G57&lt;='MC ANALISIS INTERNO'!$F$100,I57+J57,""))</f>
        <v/>
      </c>
      <c r="M57" s="57">
        <v>73</v>
      </c>
      <c r="N57" s="54" t="str">
        <f>DISEÑO!N41</f>
        <v/>
      </c>
      <c r="O57" s="54" t="str">
        <f>DISEÑO!N113</f>
        <v/>
      </c>
      <c r="P57" s="54" t="str">
        <f>IF(M57&lt;='MC ANALISIS INTERNO'!$F$100,$D$34*(N57/((SUM($B$45:$B$74))+(SUM($H$45:$H$74))+(SUM($N$45:$N$74)))),"")</f>
        <v/>
      </c>
      <c r="Q57" s="67" t="str">
        <f>IF(P57=0,O57+P57,IF(M57&lt;='MC ANALISIS INTERNO'!$F$100,O57+P57,""))</f>
        <v/>
      </c>
    </row>
    <row r="58" spans="1:17" x14ac:dyDescent="0.25">
      <c r="A58" s="57">
        <v>14</v>
      </c>
      <c r="B58" s="54" t="str">
        <f>DISEÑO!D42</f>
        <v/>
      </c>
      <c r="C58" s="54" t="str">
        <f>'MC ANALISIS INTERNO'!D116</f>
        <v/>
      </c>
      <c r="D58" s="54" t="str">
        <f>IF(A58&lt;='MC ANALISIS INTERNO'!$F$100,$D$34*(B58/((SUM($B$45:$B$74))+(SUM($H$45:$H$74))+(SUM($N$45:$N$74)))),"")</f>
        <v/>
      </c>
      <c r="E58" s="67" t="str">
        <f>IF(D58=0,C58+D58,IF(A58&lt;='MC ANALISIS INTERNO'!$F$100,C58+D58,""))</f>
        <v/>
      </c>
      <c r="G58" s="57">
        <v>44</v>
      </c>
      <c r="H58" s="54" t="str">
        <f>DISEÑO!I42</f>
        <v/>
      </c>
      <c r="I58" s="54" t="str">
        <f>DISEÑO!I114</f>
        <v/>
      </c>
      <c r="J58" s="54" t="str">
        <f>IF(G58&lt;='MC ANALISIS INTERNO'!$F$100,$D$34*(H58/((SUM($B$45:$B$74))+(SUM($H$45:$H$74))+(SUM($N$45:$N$74)))),"")</f>
        <v/>
      </c>
      <c r="K58" s="67" t="str">
        <f>IF(J58=0,I58+J58,IF(G58&lt;='MC ANALISIS INTERNO'!$F$100,I58+J58,""))</f>
        <v/>
      </c>
      <c r="M58" s="57">
        <v>74</v>
      </c>
      <c r="N58" s="54" t="str">
        <f>DISEÑO!N42</f>
        <v/>
      </c>
      <c r="O58" s="54" t="str">
        <f>DISEÑO!N114</f>
        <v/>
      </c>
      <c r="P58" s="54" t="str">
        <f>IF(M58&lt;='MC ANALISIS INTERNO'!$F$100,$D$34*(N58/((SUM($B$45:$B$74))+(SUM($H$45:$H$74))+(SUM($N$45:$N$74)))),"")</f>
        <v/>
      </c>
      <c r="Q58" s="67" t="str">
        <f>IF(P58=0,O58+P58,IF(M58&lt;='MC ANALISIS INTERNO'!$F$100,O58+P58,""))</f>
        <v/>
      </c>
    </row>
    <row r="59" spans="1:17" x14ac:dyDescent="0.25">
      <c r="A59" s="57">
        <v>15</v>
      </c>
      <c r="B59" s="54" t="str">
        <f>DISEÑO!D43</f>
        <v/>
      </c>
      <c r="C59" s="54" t="str">
        <f>'MC ANALISIS INTERNO'!D117</f>
        <v/>
      </c>
      <c r="D59" s="54" t="str">
        <f>IF(A59&lt;='MC ANALISIS INTERNO'!$F$100,$D$34*(B59/((SUM($B$45:$B$74))+(SUM($H$45:$H$74))+(SUM($N$45:$N$74)))),"")</f>
        <v/>
      </c>
      <c r="E59" s="67" t="str">
        <f>IF(D59=0,C59+D59,IF(A59&lt;='MC ANALISIS INTERNO'!$F$100,C59+D59,""))</f>
        <v/>
      </c>
      <c r="G59" s="57">
        <v>45</v>
      </c>
      <c r="H59" s="54" t="str">
        <f>DISEÑO!I43</f>
        <v/>
      </c>
      <c r="I59" s="54" t="str">
        <f>DISEÑO!I115</f>
        <v/>
      </c>
      <c r="J59" s="54" t="str">
        <f>IF(G59&lt;='MC ANALISIS INTERNO'!$F$100,$D$34*(H59/((SUM($B$45:$B$74))+(SUM($H$45:$H$74))+(SUM($N$45:$N$74)))),"")</f>
        <v/>
      </c>
      <c r="K59" s="67" t="str">
        <f>IF(J59=0,I59+J59,IF(G59&lt;='MC ANALISIS INTERNO'!$F$100,I59+J59,""))</f>
        <v/>
      </c>
      <c r="M59" s="57">
        <v>75</v>
      </c>
      <c r="N59" s="54" t="str">
        <f>DISEÑO!N43</f>
        <v/>
      </c>
      <c r="O59" s="54" t="str">
        <f>DISEÑO!N115</f>
        <v/>
      </c>
      <c r="P59" s="54" t="str">
        <f>IF(M59&lt;='MC ANALISIS INTERNO'!$F$100,$D$34*(N59/((SUM($B$45:$B$74))+(SUM($H$45:$H$74))+(SUM($N$45:$N$74)))),"")</f>
        <v/>
      </c>
      <c r="Q59" s="67" t="str">
        <f>IF(P59=0,O59+P59,IF(M59&lt;='MC ANALISIS INTERNO'!$F$100,O59+P59,""))</f>
        <v/>
      </c>
    </row>
    <row r="60" spans="1:17" x14ac:dyDescent="0.25">
      <c r="A60" s="57">
        <v>16</v>
      </c>
      <c r="B60" s="54" t="str">
        <f>DISEÑO!D44</f>
        <v/>
      </c>
      <c r="C60" s="54" t="str">
        <f>'MC ANALISIS INTERNO'!D118</f>
        <v/>
      </c>
      <c r="D60" s="54" t="str">
        <f>IF(A60&lt;='MC ANALISIS INTERNO'!$F$100,$D$34*(B60/((SUM($B$45:$B$74))+(SUM($H$45:$H$74))+(SUM($N$45:$N$74)))),"")</f>
        <v/>
      </c>
      <c r="E60" s="67" t="str">
        <f>IF(D60=0,C60+D60,IF(A60&lt;='MC ANALISIS INTERNO'!$F$100,C60+D60,""))</f>
        <v/>
      </c>
      <c r="G60" s="57">
        <v>46</v>
      </c>
      <c r="H60" s="54" t="str">
        <f>DISEÑO!I44</f>
        <v/>
      </c>
      <c r="I60" s="54" t="str">
        <f>DISEÑO!I116</f>
        <v/>
      </c>
      <c r="J60" s="54" t="str">
        <f>IF(G60&lt;='MC ANALISIS INTERNO'!$F$100,$D$34*(H60/((SUM($B$45:$B$74))+(SUM($H$45:$H$74))+(SUM($N$45:$N$74)))),"")</f>
        <v/>
      </c>
      <c r="K60" s="67" t="str">
        <f>IF(J60=0,I60+J60,IF(G60&lt;='MC ANALISIS INTERNO'!$F$100,I60+J60,""))</f>
        <v/>
      </c>
      <c r="M60" s="57">
        <v>76</v>
      </c>
      <c r="N60" s="54" t="str">
        <f>DISEÑO!N44</f>
        <v/>
      </c>
      <c r="O60" s="54" t="str">
        <f>DISEÑO!N116</f>
        <v/>
      </c>
      <c r="P60" s="54" t="str">
        <f>IF(M60&lt;='MC ANALISIS INTERNO'!$F$100,$D$34*(N60/((SUM($B$45:$B$74))+(SUM($H$45:$H$74))+(SUM($N$45:$N$74)))),"")</f>
        <v/>
      </c>
      <c r="Q60" s="67" t="str">
        <f>IF(P60=0,O60+P60,IF(M60&lt;='MC ANALISIS INTERNO'!$F$100,O60+P60,""))</f>
        <v/>
      </c>
    </row>
    <row r="61" spans="1:17" x14ac:dyDescent="0.25">
      <c r="A61" s="57">
        <v>17</v>
      </c>
      <c r="B61" s="54" t="str">
        <f>DISEÑO!D45</f>
        <v/>
      </c>
      <c r="C61" s="54" t="str">
        <f>'MC ANALISIS INTERNO'!D119</f>
        <v/>
      </c>
      <c r="D61" s="54" t="str">
        <f>IF(A61&lt;='MC ANALISIS INTERNO'!$F$100,$D$34*(B61/((SUM($B$45:$B$74))+(SUM($H$45:$H$74))+(SUM($N$45:$N$74)))),"")</f>
        <v/>
      </c>
      <c r="E61" s="67" t="str">
        <f>IF(D61=0,C61+D61,IF(A61&lt;='MC ANALISIS INTERNO'!$F$100,C61+D61,""))</f>
        <v/>
      </c>
      <c r="G61" s="57">
        <v>47</v>
      </c>
      <c r="H61" s="54" t="str">
        <f>DISEÑO!I45</f>
        <v/>
      </c>
      <c r="I61" s="54" t="str">
        <f>DISEÑO!I117</f>
        <v/>
      </c>
      <c r="J61" s="54" t="str">
        <f>IF(G61&lt;='MC ANALISIS INTERNO'!$F$100,$D$34*(H61/((SUM($B$45:$B$74))+(SUM($H$45:$H$74))+(SUM($N$45:$N$74)))),"")</f>
        <v/>
      </c>
      <c r="K61" s="67" t="str">
        <f>IF(J61=0,I61+J61,IF(G61&lt;='MC ANALISIS INTERNO'!$F$100,I61+J61,""))</f>
        <v/>
      </c>
      <c r="M61" s="57">
        <v>77</v>
      </c>
      <c r="N61" s="54" t="str">
        <f>DISEÑO!N45</f>
        <v/>
      </c>
      <c r="O61" s="54" t="str">
        <f>DISEÑO!N117</f>
        <v/>
      </c>
      <c r="P61" s="54" t="str">
        <f>IF(M61&lt;='MC ANALISIS INTERNO'!$F$100,$D$34*(N61/((SUM($B$45:$B$74))+(SUM($H$45:$H$74))+(SUM($N$45:$N$74)))),"")</f>
        <v/>
      </c>
      <c r="Q61" s="67" t="str">
        <f>IF(P61=0,O61+P61,IF(M61&lt;='MC ANALISIS INTERNO'!$F$100,O61+P61,""))</f>
        <v/>
      </c>
    </row>
    <row r="62" spans="1:17" x14ac:dyDescent="0.25">
      <c r="A62" s="57">
        <v>18</v>
      </c>
      <c r="B62" s="54" t="str">
        <f>DISEÑO!D46</f>
        <v/>
      </c>
      <c r="C62" s="54" t="str">
        <f>'MC ANALISIS INTERNO'!D120</f>
        <v/>
      </c>
      <c r="D62" s="54" t="str">
        <f>IF(A62&lt;='MC ANALISIS INTERNO'!$F$100,$D$34*(B62/((SUM($B$45:$B$74))+(SUM($H$45:$H$74))+(SUM($N$45:$N$74)))),"")</f>
        <v/>
      </c>
      <c r="E62" s="67" t="str">
        <f>IF(D62=0,C62+D62,IF(A62&lt;='MC ANALISIS INTERNO'!$F$100,C62+D62,""))</f>
        <v/>
      </c>
      <c r="G62" s="57">
        <v>48</v>
      </c>
      <c r="H62" s="54" t="str">
        <f>DISEÑO!I46</f>
        <v/>
      </c>
      <c r="I62" s="54" t="str">
        <f>DISEÑO!I118</f>
        <v/>
      </c>
      <c r="J62" s="54" t="str">
        <f>IF(G62&lt;='MC ANALISIS INTERNO'!$F$100,$D$34*(H62/((SUM($B$45:$B$74))+(SUM($H$45:$H$74))+(SUM($N$45:$N$74)))),"")</f>
        <v/>
      </c>
      <c r="K62" s="67" t="str">
        <f>IF(J62=0,I62+J62,IF(G62&lt;='MC ANALISIS INTERNO'!$F$100,I62+J62,""))</f>
        <v/>
      </c>
      <c r="M62" s="57">
        <v>78</v>
      </c>
      <c r="N62" s="54" t="str">
        <f>DISEÑO!N46</f>
        <v/>
      </c>
      <c r="O62" s="54" t="str">
        <f>DISEÑO!N118</f>
        <v/>
      </c>
      <c r="P62" s="54" t="str">
        <f>IF(M62&lt;='MC ANALISIS INTERNO'!$F$100,$D$34*(N62/((SUM($B$45:$B$74))+(SUM($H$45:$H$74))+(SUM($N$45:$N$74)))),"")</f>
        <v/>
      </c>
      <c r="Q62" s="67" t="str">
        <f>IF(P62=0,O62+P62,IF(M62&lt;='MC ANALISIS INTERNO'!$F$100,O62+P62,""))</f>
        <v/>
      </c>
    </row>
    <row r="63" spans="1:17" x14ac:dyDescent="0.25">
      <c r="A63" s="57">
        <v>19</v>
      </c>
      <c r="B63" s="54" t="str">
        <f>DISEÑO!D47</f>
        <v/>
      </c>
      <c r="C63" s="54" t="str">
        <f>'MC ANALISIS INTERNO'!D121</f>
        <v/>
      </c>
      <c r="D63" s="54" t="str">
        <f>IF(A63&lt;='MC ANALISIS INTERNO'!$F$100,$D$34*(B63/((SUM($B$45:$B$74))+(SUM($H$45:$H$74))+(SUM($N$45:$N$74)))),"")</f>
        <v/>
      </c>
      <c r="E63" s="67" t="str">
        <f>IF(D63=0,C63+D63,IF(A63&lt;='MC ANALISIS INTERNO'!$F$100,C63+D63,""))</f>
        <v/>
      </c>
      <c r="G63" s="57">
        <v>49</v>
      </c>
      <c r="H63" s="54" t="str">
        <f>DISEÑO!I47</f>
        <v/>
      </c>
      <c r="I63" s="54" t="str">
        <f>DISEÑO!I119</f>
        <v/>
      </c>
      <c r="J63" s="54" t="str">
        <f>IF(G63&lt;='MC ANALISIS INTERNO'!$F$100,$D$34*(H63/((SUM($B$45:$B$74))+(SUM($H$45:$H$74))+(SUM($N$45:$N$74)))),"")</f>
        <v/>
      </c>
      <c r="K63" s="67" t="str">
        <f>IF(J63=0,I63+J63,IF(G63&lt;='MC ANALISIS INTERNO'!$F$100,I63+J63,""))</f>
        <v/>
      </c>
      <c r="M63" s="57">
        <v>79</v>
      </c>
      <c r="N63" s="54" t="str">
        <f>DISEÑO!N47</f>
        <v/>
      </c>
      <c r="O63" s="54" t="str">
        <f>DISEÑO!N119</f>
        <v/>
      </c>
      <c r="P63" s="54" t="str">
        <f>IF(M63&lt;='MC ANALISIS INTERNO'!$F$100,$D$34*(N63/((SUM($B$45:$B$74))+(SUM($H$45:$H$74))+(SUM($N$45:$N$74)))),"")</f>
        <v/>
      </c>
      <c r="Q63" s="67" t="str">
        <f>IF(P63=0,O63+P63,IF(M63&lt;='MC ANALISIS INTERNO'!$F$100,O63+P63,""))</f>
        <v/>
      </c>
    </row>
    <row r="64" spans="1:17" x14ac:dyDescent="0.25">
      <c r="A64" s="57">
        <v>20</v>
      </c>
      <c r="B64" s="54" t="str">
        <f>DISEÑO!D48</f>
        <v/>
      </c>
      <c r="C64" s="54" t="str">
        <f>'MC ANALISIS INTERNO'!D122</f>
        <v/>
      </c>
      <c r="D64" s="54" t="str">
        <f>IF(A64&lt;='MC ANALISIS INTERNO'!$F$100,$D$34*(B64/((SUM($B$45:$B$74))+(SUM($H$45:$H$74))+(SUM($N$45:$N$74)))),"")</f>
        <v/>
      </c>
      <c r="E64" s="67" t="str">
        <f>IF(D64=0,C64+D64,IF(A64&lt;='MC ANALISIS INTERNO'!$F$100,C64+D64,""))</f>
        <v/>
      </c>
      <c r="G64" s="57">
        <v>50</v>
      </c>
      <c r="H64" s="54" t="str">
        <f>DISEÑO!I48</f>
        <v/>
      </c>
      <c r="I64" s="54" t="str">
        <f>DISEÑO!I120</f>
        <v/>
      </c>
      <c r="J64" s="54" t="str">
        <f>IF(G64&lt;='MC ANALISIS INTERNO'!$F$100,$D$34*(H64/((SUM($B$45:$B$74))+(SUM($H$45:$H$74))+(SUM($N$45:$N$74)))),"")</f>
        <v/>
      </c>
      <c r="K64" s="67" t="str">
        <f>IF(J64=0,I64+J64,IF(G64&lt;='MC ANALISIS INTERNO'!$F$100,I64+J64,""))</f>
        <v/>
      </c>
      <c r="M64" s="57">
        <v>80</v>
      </c>
      <c r="N64" s="54" t="str">
        <f>DISEÑO!N48</f>
        <v/>
      </c>
      <c r="O64" s="54" t="str">
        <f>DISEÑO!N120</f>
        <v/>
      </c>
      <c r="P64" s="54" t="str">
        <f>IF(M64&lt;='MC ANALISIS INTERNO'!$F$100,$D$34*(N64/((SUM($B$45:$B$74))+(SUM($H$45:$H$74))+(SUM($N$45:$N$74)))),"")</f>
        <v/>
      </c>
      <c r="Q64" s="67" t="str">
        <f>IF(P64=0,O64+P64,IF(M64&lt;='MC ANALISIS INTERNO'!$F$100,O64+P64,""))</f>
        <v/>
      </c>
    </row>
    <row r="65" spans="1:17" x14ac:dyDescent="0.25">
      <c r="A65" s="57">
        <v>21</v>
      </c>
      <c r="B65" s="54" t="str">
        <f>DISEÑO!D49</f>
        <v/>
      </c>
      <c r="C65" s="54" t="str">
        <f>'MC ANALISIS INTERNO'!D123</f>
        <v/>
      </c>
      <c r="D65" s="54" t="str">
        <f>IF(A65&lt;='MC ANALISIS INTERNO'!$F$100,$D$34*(B65/((SUM($B$45:$B$74))+(SUM($H$45:$H$74))+(SUM($N$45:$N$74)))),"")</f>
        <v/>
      </c>
      <c r="E65" s="67" t="str">
        <f>IF(D65=0,C65+D65,IF(A65&lt;='MC ANALISIS INTERNO'!$F$100,C65+D65,""))</f>
        <v/>
      </c>
      <c r="G65" s="57">
        <v>51</v>
      </c>
      <c r="H65" s="54" t="str">
        <f>DISEÑO!I49</f>
        <v/>
      </c>
      <c r="I65" s="54" t="str">
        <f>DISEÑO!I121</f>
        <v/>
      </c>
      <c r="J65" s="54" t="str">
        <f>IF(G65&lt;='MC ANALISIS INTERNO'!$F$100,$D$34*(H65/((SUM($B$45:$B$74))+(SUM($H$45:$H$74))+(SUM($N$45:$N$74)))),"")</f>
        <v/>
      </c>
      <c r="K65" s="67" t="str">
        <f>IF(J65=0,I65+J65,IF(G65&lt;='MC ANALISIS INTERNO'!$F$100,I65+J65,""))</f>
        <v/>
      </c>
      <c r="M65" s="57">
        <v>81</v>
      </c>
      <c r="N65" s="54" t="str">
        <f>DISEÑO!N49</f>
        <v/>
      </c>
      <c r="O65" s="54" t="str">
        <f>DISEÑO!N121</f>
        <v/>
      </c>
      <c r="P65" s="54" t="str">
        <f>IF(M65&lt;='MC ANALISIS INTERNO'!$F$100,$D$34*(N65/((SUM($B$45:$B$74))+(SUM($H$45:$H$74))+(SUM($N$45:$N$74)))),"")</f>
        <v/>
      </c>
      <c r="Q65" s="67" t="str">
        <f>IF(P65=0,O65+P65,IF(M65&lt;='MC ANALISIS INTERNO'!$F$100,O65+P65,""))</f>
        <v/>
      </c>
    </row>
    <row r="66" spans="1:17" x14ac:dyDescent="0.25">
      <c r="A66" s="57">
        <v>22</v>
      </c>
      <c r="B66" s="54" t="str">
        <f>DISEÑO!D50</f>
        <v/>
      </c>
      <c r="C66" s="54" t="str">
        <f>'MC ANALISIS INTERNO'!D124</f>
        <v/>
      </c>
      <c r="D66" s="54" t="str">
        <f>IF(A66&lt;='MC ANALISIS INTERNO'!$F$100,$D$34*(B66/((SUM($B$45:$B$74))+(SUM($H$45:$H$74))+(SUM($N$45:$N$74)))),"")</f>
        <v/>
      </c>
      <c r="E66" s="67" t="str">
        <f>IF(D66=0,C66+D66,IF(A66&lt;='MC ANALISIS INTERNO'!$F$100,C66+D66,""))</f>
        <v/>
      </c>
      <c r="G66" s="57">
        <v>52</v>
      </c>
      <c r="H66" s="54" t="str">
        <f>DISEÑO!I50</f>
        <v/>
      </c>
      <c r="I66" s="54" t="str">
        <f>DISEÑO!I122</f>
        <v/>
      </c>
      <c r="J66" s="54" t="str">
        <f>IF(G66&lt;='MC ANALISIS INTERNO'!$F$100,$D$34*(H66/((SUM($B$45:$B$74))+(SUM($H$45:$H$74))+(SUM($N$45:$N$74)))),"")</f>
        <v/>
      </c>
      <c r="K66" s="67" t="str">
        <f>IF(J66=0,I66+J66,IF(G66&lt;='MC ANALISIS INTERNO'!$F$100,I66+J66,""))</f>
        <v/>
      </c>
      <c r="M66" s="57">
        <v>82</v>
      </c>
      <c r="N66" s="54" t="str">
        <f>DISEÑO!N50</f>
        <v/>
      </c>
      <c r="O66" s="54" t="str">
        <f>DISEÑO!N122</f>
        <v/>
      </c>
      <c r="P66" s="54" t="str">
        <f>IF(M66&lt;='MC ANALISIS INTERNO'!$F$100,$D$34*(N66/((SUM($B$45:$B$74))+(SUM($H$45:$H$74))+(SUM($N$45:$N$74)))),"")</f>
        <v/>
      </c>
      <c r="Q66" s="67" t="str">
        <f>IF(P66=0,O66+P66,IF(M66&lt;='MC ANALISIS INTERNO'!$F$100,O66+P66,""))</f>
        <v/>
      </c>
    </row>
    <row r="67" spans="1:17" x14ac:dyDescent="0.25">
      <c r="A67" s="57">
        <v>23</v>
      </c>
      <c r="B67" s="54" t="str">
        <f>DISEÑO!D51</f>
        <v/>
      </c>
      <c r="C67" s="54" t="str">
        <f>'MC ANALISIS INTERNO'!D125</f>
        <v/>
      </c>
      <c r="D67" s="54" t="str">
        <f>IF(A67&lt;='MC ANALISIS INTERNO'!$F$100,$D$34*(B67/((SUM($B$45:$B$74))+(SUM($H$45:$H$74))+(SUM($N$45:$N$74)))),"")</f>
        <v/>
      </c>
      <c r="E67" s="67" t="str">
        <f>IF(D67=0,C67+D67,IF(A67&lt;='MC ANALISIS INTERNO'!$F$100,C67+D67,""))</f>
        <v/>
      </c>
      <c r="G67" s="57">
        <v>53</v>
      </c>
      <c r="H67" s="54" t="str">
        <f>DISEÑO!I51</f>
        <v/>
      </c>
      <c r="I67" s="54" t="str">
        <f>DISEÑO!I123</f>
        <v/>
      </c>
      <c r="J67" s="54" t="str">
        <f>IF(G67&lt;='MC ANALISIS INTERNO'!$F$100,$D$34*(H67/((SUM($B$45:$B$74))+(SUM($H$45:$H$74))+(SUM($N$45:$N$74)))),"")</f>
        <v/>
      </c>
      <c r="K67" s="67" t="str">
        <f>IF(J67=0,I67+J67,IF(G67&lt;='MC ANALISIS INTERNO'!$F$100,I67+J67,""))</f>
        <v/>
      </c>
      <c r="M67" s="57">
        <v>83</v>
      </c>
      <c r="N67" s="54" t="str">
        <f>DISEÑO!N51</f>
        <v/>
      </c>
      <c r="O67" s="54" t="str">
        <f>DISEÑO!N123</f>
        <v/>
      </c>
      <c r="P67" s="54" t="str">
        <f>IF(M67&lt;='MC ANALISIS INTERNO'!$F$100,$D$34*(N67/((SUM($B$45:$B$74))+(SUM($H$45:$H$74))+(SUM($N$45:$N$74)))),"")</f>
        <v/>
      </c>
      <c r="Q67" s="67" t="str">
        <f>IF(P67=0,O67+P67,IF(M67&lt;='MC ANALISIS INTERNO'!$F$100,O67+P67,""))</f>
        <v/>
      </c>
    </row>
    <row r="68" spans="1:17" x14ac:dyDescent="0.25">
      <c r="A68" s="57">
        <v>24</v>
      </c>
      <c r="B68" s="54" t="str">
        <f>DISEÑO!D52</f>
        <v/>
      </c>
      <c r="C68" s="54" t="str">
        <f>'MC ANALISIS INTERNO'!D126</f>
        <v/>
      </c>
      <c r="D68" s="54" t="str">
        <f>IF(A68&lt;='MC ANALISIS INTERNO'!$F$100,$D$34*(B68/((SUM($B$45:$B$74))+(SUM($H$45:$H$74))+(SUM($N$45:$N$74)))),"")</f>
        <v/>
      </c>
      <c r="E68" s="67" t="str">
        <f>IF(D68=0,C68+D68,IF(A68&lt;='MC ANALISIS INTERNO'!$F$100,C68+D68,""))</f>
        <v/>
      </c>
      <c r="G68" s="57">
        <v>54</v>
      </c>
      <c r="H68" s="54" t="str">
        <f>DISEÑO!I52</f>
        <v/>
      </c>
      <c r="I68" s="54" t="str">
        <f>DISEÑO!I124</f>
        <v/>
      </c>
      <c r="J68" s="54" t="str">
        <f>IF(G68&lt;='MC ANALISIS INTERNO'!$F$100,$D$34*(H68/((SUM($B$45:$B$74))+(SUM($H$45:$H$74))+(SUM($N$45:$N$74)))),"")</f>
        <v/>
      </c>
      <c r="K68" s="67" t="str">
        <f>IF(J68=0,I68+J68,IF(G68&lt;='MC ANALISIS INTERNO'!$F$100,I68+J68,""))</f>
        <v/>
      </c>
      <c r="M68" s="57">
        <v>84</v>
      </c>
      <c r="N68" s="54" t="str">
        <f>DISEÑO!N52</f>
        <v/>
      </c>
      <c r="O68" s="54" t="str">
        <f>DISEÑO!N124</f>
        <v/>
      </c>
      <c r="P68" s="54" t="str">
        <f>IF(M68&lt;='MC ANALISIS INTERNO'!$F$100,$D$34*(N68/((SUM($B$45:$B$74))+(SUM($H$45:$H$74))+(SUM($N$45:$N$74)))),"")</f>
        <v/>
      </c>
      <c r="Q68" s="67" t="str">
        <f>IF(P68=0,O68+P68,IF(M68&lt;='MC ANALISIS INTERNO'!$F$100,O68+P68,""))</f>
        <v/>
      </c>
    </row>
    <row r="69" spans="1:17" x14ac:dyDescent="0.25">
      <c r="A69" s="57">
        <v>25</v>
      </c>
      <c r="B69" s="54" t="str">
        <f>DISEÑO!D53</f>
        <v/>
      </c>
      <c r="C69" s="54" t="str">
        <f>'MC ANALISIS INTERNO'!D127</f>
        <v/>
      </c>
      <c r="D69" s="54" t="str">
        <f>IF(A69&lt;='MC ANALISIS INTERNO'!$F$100,$D$34*(B69/((SUM($B$45:$B$74))+(SUM($H$45:$H$74))+(SUM($N$45:$N$74)))),"")</f>
        <v/>
      </c>
      <c r="E69" s="67" t="str">
        <f>IF(D69=0,C69+D69,IF(A69&lt;='MC ANALISIS INTERNO'!$F$100,C69+D69,""))</f>
        <v/>
      </c>
      <c r="G69" s="57">
        <v>55</v>
      </c>
      <c r="H69" s="54" t="str">
        <f>DISEÑO!I53</f>
        <v/>
      </c>
      <c r="I69" s="54" t="str">
        <f>DISEÑO!I125</f>
        <v/>
      </c>
      <c r="J69" s="54" t="str">
        <f>IF(G69&lt;='MC ANALISIS INTERNO'!$F$100,$D$34*(H69/((SUM($B$45:$B$74))+(SUM($H$45:$H$74))+(SUM($N$45:$N$74)))),"")</f>
        <v/>
      </c>
      <c r="K69" s="67" t="str">
        <f>IF(J69=0,I69+J69,IF(G69&lt;='MC ANALISIS INTERNO'!$F$100,I69+J69,""))</f>
        <v/>
      </c>
      <c r="M69" s="57">
        <v>85</v>
      </c>
      <c r="N69" s="54" t="str">
        <f>DISEÑO!N53</f>
        <v/>
      </c>
      <c r="O69" s="54" t="str">
        <f>DISEÑO!N125</f>
        <v/>
      </c>
      <c r="P69" s="54" t="str">
        <f>IF(M69&lt;='MC ANALISIS INTERNO'!$F$100,$D$34*(N69/((SUM($B$45:$B$74))+(SUM($H$45:$H$74))+(SUM($N$45:$N$74)))),"")</f>
        <v/>
      </c>
      <c r="Q69" s="67" t="str">
        <f>IF(P69=0,O69+P69,IF(M69&lt;='MC ANALISIS INTERNO'!$F$100,O69+P69,""))</f>
        <v/>
      </c>
    </row>
    <row r="70" spans="1:17" x14ac:dyDescent="0.25">
      <c r="A70" s="57">
        <v>26</v>
      </c>
      <c r="B70" s="54" t="str">
        <f>DISEÑO!D54</f>
        <v/>
      </c>
      <c r="C70" s="54" t="str">
        <f>'MC ANALISIS INTERNO'!D128</f>
        <v/>
      </c>
      <c r="D70" s="54" t="str">
        <f>IF(A70&lt;='MC ANALISIS INTERNO'!$F$100,$D$34*(B70/((SUM($B$45:$B$74))+(SUM($H$45:$H$74))+(SUM($N$45:$N$74)))),"")</f>
        <v/>
      </c>
      <c r="E70" s="67" t="str">
        <f>IF(D70=0,C70+D70,IF(A70&lt;='MC ANALISIS INTERNO'!$F$100,C70+D70,""))</f>
        <v/>
      </c>
      <c r="G70" s="57">
        <v>56</v>
      </c>
      <c r="H70" s="54" t="str">
        <f>DISEÑO!I54</f>
        <v/>
      </c>
      <c r="I70" s="54" t="str">
        <f>DISEÑO!I126</f>
        <v/>
      </c>
      <c r="J70" s="54" t="str">
        <f>IF(G70&lt;='MC ANALISIS INTERNO'!$F$100,$D$34*(H70/((SUM($B$45:$B$74))+(SUM($H$45:$H$74))+(SUM($N$45:$N$74)))),"")</f>
        <v/>
      </c>
      <c r="K70" s="67" t="str">
        <f>IF(J70=0,I70+J70,IF(G70&lt;='MC ANALISIS INTERNO'!$F$100,I70+J70,""))</f>
        <v/>
      </c>
      <c r="M70" s="57">
        <v>86</v>
      </c>
      <c r="N70" s="54" t="str">
        <f>DISEÑO!N54</f>
        <v/>
      </c>
      <c r="O70" s="54" t="str">
        <f>DISEÑO!N126</f>
        <v/>
      </c>
      <c r="P70" s="54" t="str">
        <f>IF(M70&lt;='MC ANALISIS INTERNO'!$F$100,$D$34*(N70/((SUM($B$45:$B$74))+(SUM($H$45:$H$74))+(SUM($N$45:$N$74)))),"")</f>
        <v/>
      </c>
      <c r="Q70" s="67" t="str">
        <f>IF(P70=0,O70+P70,IF(M70&lt;='MC ANALISIS INTERNO'!$F$100,O70+P70,""))</f>
        <v/>
      </c>
    </row>
    <row r="71" spans="1:17" x14ac:dyDescent="0.25">
      <c r="A71" s="57">
        <v>27</v>
      </c>
      <c r="B71" s="54" t="str">
        <f>DISEÑO!D55</f>
        <v/>
      </c>
      <c r="C71" s="54" t="str">
        <f>'MC ANALISIS INTERNO'!D129</f>
        <v/>
      </c>
      <c r="D71" s="54" t="str">
        <f>IF(A71&lt;='MC ANALISIS INTERNO'!$F$100,$D$34*(B71/((SUM($B$45:$B$74))+(SUM($H$45:$H$74))+(SUM($N$45:$N$74)))),"")</f>
        <v/>
      </c>
      <c r="E71" s="67" t="str">
        <f>IF(D71=0,C71+D71,IF(A71&lt;='MC ANALISIS INTERNO'!$F$100,C71+D71,""))</f>
        <v/>
      </c>
      <c r="G71" s="57">
        <v>57</v>
      </c>
      <c r="H71" s="54" t="str">
        <f>DISEÑO!I55</f>
        <v/>
      </c>
      <c r="I71" s="54" t="str">
        <f>DISEÑO!I127</f>
        <v/>
      </c>
      <c r="J71" s="54" t="str">
        <f>IF(G71&lt;='MC ANALISIS INTERNO'!$F$100,$D$34*(H71/((SUM($B$45:$B$74))+(SUM($H$45:$H$74))+(SUM($N$45:$N$74)))),"")</f>
        <v/>
      </c>
      <c r="K71" s="67" t="str">
        <f>IF(J71=0,I71+J71,IF(G71&lt;='MC ANALISIS INTERNO'!$F$100,I71+J71,""))</f>
        <v/>
      </c>
      <c r="M71" s="57">
        <v>87</v>
      </c>
      <c r="N71" s="54" t="str">
        <f>DISEÑO!N55</f>
        <v/>
      </c>
      <c r="O71" s="54" t="str">
        <f>DISEÑO!N127</f>
        <v/>
      </c>
      <c r="P71" s="54" t="str">
        <f>IF(M71&lt;='MC ANALISIS INTERNO'!$F$100,$D$34*(N71/((SUM($B$45:$B$74))+(SUM($H$45:$H$74))+(SUM($N$45:$N$74)))),"")</f>
        <v/>
      </c>
      <c r="Q71" s="67" t="str">
        <f>IF(P71=0,O71+P71,IF(M71&lt;='MC ANALISIS INTERNO'!$F$100,O71+P71,""))</f>
        <v/>
      </c>
    </row>
    <row r="72" spans="1:17" x14ac:dyDescent="0.25">
      <c r="A72" s="57">
        <v>28</v>
      </c>
      <c r="B72" s="54" t="str">
        <f>DISEÑO!D56</f>
        <v/>
      </c>
      <c r="C72" s="54" t="str">
        <f>'MC ANALISIS INTERNO'!D130</f>
        <v/>
      </c>
      <c r="D72" s="54" t="str">
        <f>IF(A72&lt;='MC ANALISIS INTERNO'!$F$100,$D$34*(B72/((SUM($B$45:$B$74))+(SUM($H$45:$H$74))+(SUM($N$45:$N$74)))),"")</f>
        <v/>
      </c>
      <c r="E72" s="67" t="str">
        <f>IF(D72=0,C72+D72,IF(A72&lt;='MC ANALISIS INTERNO'!$F$100,C72+D72,""))</f>
        <v/>
      </c>
      <c r="G72" s="57">
        <v>58</v>
      </c>
      <c r="H72" s="54" t="str">
        <f>DISEÑO!I56</f>
        <v/>
      </c>
      <c r="I72" s="54" t="str">
        <f>DISEÑO!I128</f>
        <v/>
      </c>
      <c r="J72" s="54" t="str">
        <f>IF(G72&lt;='MC ANALISIS INTERNO'!$F$100,$D$34*(H72/((SUM($B$45:$B$74))+(SUM($H$45:$H$74))+(SUM($N$45:$N$74)))),"")</f>
        <v/>
      </c>
      <c r="K72" s="67" t="str">
        <f>IF(J72=0,I72+J72,IF(G72&lt;='MC ANALISIS INTERNO'!$F$100,I72+J72,""))</f>
        <v/>
      </c>
      <c r="M72" s="57">
        <v>88</v>
      </c>
      <c r="N72" s="54" t="str">
        <f>DISEÑO!N56</f>
        <v/>
      </c>
      <c r="O72" s="54" t="str">
        <f>DISEÑO!N128</f>
        <v/>
      </c>
      <c r="P72" s="54" t="str">
        <f>IF(M72&lt;='MC ANALISIS INTERNO'!$F$100,$D$34*(N72/((SUM($B$45:$B$74))+(SUM($H$45:$H$74))+(SUM($N$45:$N$74)))),"")</f>
        <v/>
      </c>
      <c r="Q72" s="67" t="str">
        <f>IF(P72=0,O72+P72,IF(M72&lt;='MC ANALISIS INTERNO'!$F$100,O72+P72,""))</f>
        <v/>
      </c>
    </row>
    <row r="73" spans="1:17" x14ac:dyDescent="0.25">
      <c r="A73" s="57">
        <v>29</v>
      </c>
      <c r="B73" s="54" t="str">
        <f>DISEÑO!D57</f>
        <v/>
      </c>
      <c r="C73" s="54" t="str">
        <f>'MC ANALISIS INTERNO'!D131</f>
        <v/>
      </c>
      <c r="D73" s="54" t="str">
        <f>IF(A73&lt;='MC ANALISIS INTERNO'!$F$100,$D$34*(B73/((SUM($B$45:$B$74))+(SUM($H$45:$H$74))+(SUM($N$45:$N$74)))),"")</f>
        <v/>
      </c>
      <c r="E73" s="67" t="str">
        <f>IF(D73=0,C73+D73,IF(A73&lt;='MC ANALISIS INTERNO'!$F$100,C73+D73,""))</f>
        <v/>
      </c>
      <c r="G73" s="57">
        <v>59</v>
      </c>
      <c r="H73" s="54" t="str">
        <f>DISEÑO!I57</f>
        <v/>
      </c>
      <c r="I73" s="54" t="str">
        <f>DISEÑO!I129</f>
        <v/>
      </c>
      <c r="J73" s="54" t="str">
        <f>IF(G73&lt;='MC ANALISIS INTERNO'!$F$100,$D$34*(H73/((SUM($B$45:$B$74))+(SUM($H$45:$H$74))+(SUM($N$45:$N$74)))),"")</f>
        <v/>
      </c>
      <c r="K73" s="67" t="str">
        <f>IF(J73=0,I73+J73,IF(G73&lt;='MC ANALISIS INTERNO'!$F$100,I73+J73,""))</f>
        <v/>
      </c>
      <c r="M73" s="57">
        <v>89</v>
      </c>
      <c r="N73" s="54" t="str">
        <f>DISEÑO!N57</f>
        <v/>
      </c>
      <c r="O73" s="54" t="str">
        <f>DISEÑO!N129</f>
        <v/>
      </c>
      <c r="P73" s="54" t="str">
        <f>IF(M73&lt;='MC ANALISIS INTERNO'!$F$100,$D$34*(N73/((SUM($B$45:$B$74))+(SUM($H$45:$H$74))+(SUM($N$45:$N$74)))),"")</f>
        <v/>
      </c>
      <c r="Q73" s="67" t="str">
        <f>IF(P73=0,O73+P73,IF(M73&lt;='MC ANALISIS INTERNO'!$F$100,O73+P73,""))</f>
        <v/>
      </c>
    </row>
    <row r="74" spans="1:17" ht="15.75" thickBot="1" x14ac:dyDescent="0.3">
      <c r="A74" s="58">
        <v>30</v>
      </c>
      <c r="B74" s="59" t="str">
        <f>DISEÑO!D58</f>
        <v/>
      </c>
      <c r="C74" s="59" t="str">
        <f>'MC ANALISIS INTERNO'!D132</f>
        <v/>
      </c>
      <c r="D74" s="59" t="str">
        <f>IF(A74&lt;='MC ANALISIS INTERNO'!$F$100,$D$34*(B74/((SUM($B$45:$B$74))+(SUM($H$45:$H$74))+(SUM($N$45:$N$74)))),"")</f>
        <v/>
      </c>
      <c r="E74" s="68" t="str">
        <f>IF(D74=0,C74+D74,IF(A74&lt;='MC ANALISIS INTERNO'!$F$100,C74+D74,""))</f>
        <v/>
      </c>
      <c r="G74" s="58">
        <v>60</v>
      </c>
      <c r="H74" s="59" t="str">
        <f>DISEÑO!I58</f>
        <v/>
      </c>
      <c r="I74" s="59" t="str">
        <f>DISEÑO!I130</f>
        <v/>
      </c>
      <c r="J74" s="59" t="str">
        <f>IF(G74&lt;='MC ANALISIS INTERNO'!$F$100,$D$34*(H74/((SUM($B$45:$B$74))+(SUM($H$45:$H$74))+(SUM($N$45:$N$74)))),"")</f>
        <v/>
      </c>
      <c r="K74" s="68" t="str">
        <f>IF(J74=0,I74+J74,IF(G74&lt;='MC ANALISIS INTERNO'!$F$100,I74+J74,""))</f>
        <v/>
      </c>
      <c r="M74" s="58">
        <v>90</v>
      </c>
      <c r="N74" s="59" t="str">
        <f>DISEÑO!N58</f>
        <v/>
      </c>
      <c r="O74" s="59" t="str">
        <f>DISEÑO!N130</f>
        <v/>
      </c>
      <c r="P74" s="59" t="str">
        <f>IF(M74&lt;='MC ANALISIS INTERNO'!$F$100,$D$34*(N74/((SUM($B$45:$B$74))+(SUM($H$45:$H$74))+(SUM($N$45:$N$74)))),"")</f>
        <v/>
      </c>
      <c r="Q74" s="68" t="str">
        <f>IF(P74=0,O74+P74,IF(M74&lt;='MC ANALISIS INTERNO'!$F$100,O74+P74,""))</f>
        <v/>
      </c>
    </row>
  </sheetData>
  <mergeCells count="4">
    <mergeCell ref="D1:J2"/>
    <mergeCell ref="D3:J4"/>
    <mergeCell ref="E11:J11"/>
    <mergeCell ref="D12:K12"/>
  </mergeCells>
  <pageMargins left="0.7" right="0.7" top="0.75" bottom="0.75" header="0.3" footer="0.3"/>
  <pageSetup scale="4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K464"/>
  <sheetViews>
    <sheetView showGridLines="0" topLeftCell="A22" zoomScale="85" zoomScaleNormal="85" zoomScaleSheetLayoutView="70" workbookViewId="0">
      <selection activeCell="N29" sqref="N29"/>
    </sheetView>
  </sheetViews>
  <sheetFormatPr baseColWidth="10" defaultRowHeight="15" x14ac:dyDescent="0.25"/>
  <cols>
    <col min="4" max="4" width="13.28515625" bestFit="1" customWidth="1"/>
  </cols>
  <sheetData>
    <row r="1" spans="3:9" s="5" customFormat="1" x14ac:dyDescent="0.25">
      <c r="C1" s="214" t="s">
        <v>10</v>
      </c>
      <c r="D1" s="214"/>
      <c r="E1" s="214"/>
      <c r="F1" s="214"/>
      <c r="G1" s="214"/>
      <c r="H1" s="214"/>
      <c r="I1" s="214"/>
    </row>
    <row r="2" spans="3:9" s="5" customFormat="1" x14ac:dyDescent="0.25">
      <c r="C2" s="214"/>
      <c r="D2" s="214"/>
      <c r="E2" s="214"/>
      <c r="F2" s="214"/>
      <c r="G2" s="214"/>
      <c r="H2" s="214"/>
      <c r="I2" s="214"/>
    </row>
    <row r="3" spans="3:9" s="5" customFormat="1" x14ac:dyDescent="0.25">
      <c r="C3" s="214" t="s">
        <v>11</v>
      </c>
      <c r="D3" s="214"/>
      <c r="E3" s="214"/>
      <c r="F3" s="214"/>
      <c r="G3" s="214"/>
      <c r="H3" s="214"/>
      <c r="I3" s="214"/>
    </row>
    <row r="4" spans="3:9" s="5" customFormat="1" x14ac:dyDescent="0.25">
      <c r="C4" s="214"/>
      <c r="D4" s="214"/>
      <c r="E4" s="214"/>
      <c r="F4" s="214"/>
      <c r="G4" s="214"/>
      <c r="H4" s="214"/>
      <c r="I4" s="214"/>
    </row>
    <row r="5" spans="3:9" s="5" customFormat="1" x14ac:dyDescent="0.25"/>
    <row r="6" spans="3:9" s="5" customFormat="1" x14ac:dyDescent="0.25"/>
    <row r="7" spans="3:9" s="5" customFormat="1" x14ac:dyDescent="0.25"/>
    <row r="8" spans="3:9" s="5" customFormat="1" x14ac:dyDescent="0.25"/>
    <row r="9" spans="3:9" s="5" customFormat="1" x14ac:dyDescent="0.25"/>
    <row r="10" spans="3:9" s="5" customFormat="1" ht="23.25" x14ac:dyDescent="0.35">
      <c r="D10" s="217" t="s">
        <v>230</v>
      </c>
      <c r="E10" s="217"/>
      <c r="F10" s="217"/>
      <c r="G10" s="217"/>
      <c r="H10" s="217"/>
      <c r="I10" s="217"/>
    </row>
    <row r="11" spans="3:9" s="5" customFormat="1" x14ac:dyDescent="0.25"/>
    <row r="12" spans="3:9" s="5" customFormat="1" x14ac:dyDescent="0.25"/>
    <row r="23" spans="1:11" ht="15" customHeight="1" x14ac:dyDescent="0.25">
      <c r="A23" s="227" t="s">
        <v>269</v>
      </c>
      <c r="B23" s="227"/>
      <c r="C23" s="227"/>
      <c r="D23" s="227"/>
      <c r="E23" s="227"/>
      <c r="F23" s="227"/>
      <c r="G23" s="227"/>
      <c r="H23" s="227"/>
      <c r="I23" s="227"/>
      <c r="J23" s="227"/>
      <c r="K23" s="227"/>
    </row>
    <row r="24" spans="1:11" ht="15" customHeight="1" x14ac:dyDescent="0.25">
      <c r="A24" s="227"/>
      <c r="B24" s="227"/>
      <c r="C24" s="227"/>
      <c r="D24" s="227"/>
      <c r="E24" s="227"/>
      <c r="F24" s="227"/>
      <c r="G24" s="227"/>
      <c r="H24" s="227"/>
      <c r="I24" s="227"/>
      <c r="J24" s="227"/>
      <c r="K24" s="227"/>
    </row>
    <row r="25" spans="1:11" ht="15" customHeight="1" x14ac:dyDescent="0.25">
      <c r="A25" s="227"/>
      <c r="B25" s="227"/>
      <c r="C25" s="227"/>
      <c r="D25" s="227"/>
      <c r="E25" s="227"/>
      <c r="F25" s="227"/>
      <c r="G25" s="227"/>
      <c r="H25" s="227"/>
      <c r="I25" s="227"/>
      <c r="J25" s="227"/>
      <c r="K25" s="227"/>
    </row>
    <row r="26" spans="1:11" ht="15" customHeight="1" x14ac:dyDescent="0.25">
      <c r="A26" s="227"/>
      <c r="B26" s="227"/>
      <c r="C26" s="227"/>
      <c r="D26" s="227"/>
      <c r="E26" s="227"/>
      <c r="F26" s="227"/>
      <c r="G26" s="227"/>
      <c r="H26" s="227"/>
      <c r="I26" s="227"/>
      <c r="J26" s="227"/>
      <c r="K26" s="227"/>
    </row>
    <row r="27" spans="1:11" ht="15" customHeight="1" x14ac:dyDescent="0.25">
      <c r="A27" s="227"/>
      <c r="B27" s="227"/>
      <c r="C27" s="227"/>
      <c r="D27" s="227"/>
      <c r="E27" s="227"/>
      <c r="F27" s="227"/>
      <c r="G27" s="227"/>
      <c r="H27" s="227"/>
      <c r="I27" s="227"/>
      <c r="J27" s="227"/>
      <c r="K27" s="227"/>
    </row>
    <row r="28" spans="1:11" x14ac:dyDescent="0.25">
      <c r="A28" s="227"/>
      <c r="B28" s="227"/>
      <c r="C28" s="227"/>
      <c r="D28" s="227"/>
      <c r="E28" s="227"/>
      <c r="F28" s="227"/>
      <c r="G28" s="227"/>
      <c r="H28" s="227"/>
      <c r="I28" s="227"/>
      <c r="J28" s="227"/>
      <c r="K28" s="227"/>
    </row>
    <row r="32" spans="1:11" ht="15.75" thickBot="1" x14ac:dyDescent="0.3"/>
    <row r="33" spans="2:9" ht="15.75" thickBot="1" x14ac:dyDescent="0.3">
      <c r="C33" s="223" t="s">
        <v>231</v>
      </c>
      <c r="D33" s="224"/>
      <c r="E33" s="224"/>
      <c r="F33" s="224"/>
      <c r="G33" s="224"/>
      <c r="H33" s="225"/>
      <c r="I33" s="226"/>
    </row>
    <row r="34" spans="2:9" ht="30.75" thickBot="1" x14ac:dyDescent="0.3">
      <c r="D34" s="142" t="s">
        <v>144</v>
      </c>
      <c r="E34" s="143" t="s">
        <v>131</v>
      </c>
      <c r="F34" s="143" t="s">
        <v>151</v>
      </c>
      <c r="G34" s="146" t="s">
        <v>232</v>
      </c>
    </row>
    <row r="35" spans="2:9" x14ac:dyDescent="0.25">
      <c r="B35" s="144"/>
      <c r="C35" s="144"/>
      <c r="D35" s="136">
        <f>IF(DISEÑO!B101="","",DISEÑO!A101)</f>
        <v>1</v>
      </c>
      <c r="E35" s="137">
        <f>IF(DISEÑO!B29="","",DISEÑO!B29)</f>
        <v>0.5</v>
      </c>
      <c r="F35" s="137">
        <f>IF(DISEÑO!C101="","",DISEÑO!C101)</f>
        <v>3.413918796285464</v>
      </c>
      <c r="G35" s="137">
        <f>IF('DISEÑO POR SISMO'!E45="","",'DISEÑO POR SISMO'!E45)</f>
        <v>8.8946975602159011</v>
      </c>
    </row>
    <row r="36" spans="2:9" x14ac:dyDescent="0.25">
      <c r="B36" s="144"/>
      <c r="C36" s="144"/>
      <c r="D36" s="136">
        <f>IF(DISEÑO!B102="","",DISEÑO!A102)</f>
        <v>2</v>
      </c>
      <c r="E36" s="137">
        <f>IF(DISEÑO!B30="","",DISEÑO!B30)</f>
        <v>1</v>
      </c>
      <c r="F36" s="137">
        <f>IF(DISEÑO!C102="","",DISEÑO!C102)</f>
        <v>2.5761662348876779</v>
      </c>
      <c r="G36" s="137">
        <f>IF('DISEÑO POR SISMO'!E46="","",'DISEÑO POR SISMO'!E46)</f>
        <v>9.2505075629937998</v>
      </c>
    </row>
    <row r="37" spans="2:9" x14ac:dyDescent="0.25">
      <c r="B37" s="144"/>
      <c r="C37" s="144"/>
      <c r="D37" s="136">
        <f>IF(DISEÑO!B103="","",DISEÑO!A103)</f>
        <v>3</v>
      </c>
      <c r="E37" s="137">
        <f>IF(DISEÑO!B31="","",DISEÑO!B31)</f>
        <v>1.5</v>
      </c>
      <c r="F37" s="137">
        <f>IF(DISEÑO!C103="","",DISEÑO!C103)</f>
        <v>2.2874911002928653</v>
      </c>
      <c r="G37" s="137">
        <f>IF('DISEÑO POR SISMO'!E47="","",'DISEÑO POR SISMO'!E47)</f>
        <v>10.7505075629938</v>
      </c>
    </row>
    <row r="38" spans="2:9" x14ac:dyDescent="0.25">
      <c r="B38" s="144"/>
      <c r="C38" s="144"/>
      <c r="D38" s="136">
        <f>IF(DISEÑO!B104="","",DISEÑO!A104)</f>
        <v>4</v>
      </c>
      <c r="E38" s="137">
        <f>IF(DISEÑO!B32="","",DISEÑO!B32)</f>
        <v>2</v>
      </c>
      <c r="F38" s="137">
        <f>IF(DISEÑO!C104="","",DISEÑO!C104)</f>
        <v>1.9988159656980526</v>
      </c>
      <c r="G38" s="137">
        <f>IF('DISEÑO POR SISMO'!E48="","",'DISEÑO POR SISMO'!E48)</f>
        <v>12.2505075629938</v>
      </c>
    </row>
    <row r="39" spans="2:9" x14ac:dyDescent="0.25">
      <c r="B39" s="144"/>
      <c r="C39" s="139"/>
      <c r="D39" s="136">
        <f>IF(DISEÑO!B105="","",DISEÑO!A105)</f>
        <v>5</v>
      </c>
      <c r="E39" s="137">
        <f>IF(DISEÑO!B33="","",DISEÑO!B33)</f>
        <v>2.5</v>
      </c>
      <c r="F39" s="137">
        <f>IF(DISEÑO!C105="","",DISEÑO!C105)</f>
        <v>1.7101408311032396</v>
      </c>
      <c r="G39" s="137">
        <f>IF('DISEÑO POR SISMO'!E49="","",'DISEÑO POR SISMO'!E49)</f>
        <v>13.7505075629938</v>
      </c>
    </row>
    <row r="40" spans="2:9" x14ac:dyDescent="0.25">
      <c r="B40" s="144"/>
      <c r="C40" s="139"/>
      <c r="D40" s="136">
        <f>IF(DISEÑO!B106="","",DISEÑO!A106)</f>
        <v>6</v>
      </c>
      <c r="E40" s="137">
        <f>IF(DISEÑO!B34="","",DISEÑO!B34)</f>
        <v>3</v>
      </c>
      <c r="F40" s="137">
        <f>IF(DISEÑO!C106="","",DISEÑO!C106)</f>
        <v>1.4214656965084267</v>
      </c>
      <c r="G40" s="137">
        <f>IF('DISEÑO POR SISMO'!E50="","",'DISEÑO POR SISMO'!E50)</f>
        <v>15.2505075629938</v>
      </c>
    </row>
    <row r="41" spans="2:9" x14ac:dyDescent="0.25">
      <c r="B41" s="144"/>
      <c r="C41" s="139"/>
      <c r="D41" s="136">
        <f>IF(DISEÑO!B107="","",DISEÑO!A107)</f>
        <v>7</v>
      </c>
      <c r="E41" s="137">
        <f>IF(DISEÑO!B35="","",DISEÑO!B35)</f>
        <v>3.5</v>
      </c>
      <c r="F41" s="137">
        <f>IF(DISEÑO!C107="","",DISEÑO!C107)</f>
        <v>1.1327905619136138</v>
      </c>
      <c r="G41" s="137">
        <f>IF('DISEÑO POR SISMO'!E51="","",'DISEÑO POR SISMO'!E51)</f>
        <v>16.7505075629938</v>
      </c>
    </row>
    <row r="42" spans="2:9" x14ac:dyDescent="0.25">
      <c r="B42" s="144"/>
      <c r="C42" s="139"/>
      <c r="D42" s="136" t="str">
        <f>IF(DISEÑO!B108="","",DISEÑO!A108)</f>
        <v/>
      </c>
      <c r="E42" s="137" t="str">
        <f>IF(DISEÑO!B36="","",DISEÑO!B36)</f>
        <v/>
      </c>
      <c r="F42" s="137" t="str">
        <f>IF(DISEÑO!C108="","",DISEÑO!C108)</f>
        <v/>
      </c>
      <c r="G42" s="137" t="str">
        <f>IF('DISEÑO POR SISMO'!E52="","",'DISEÑO POR SISMO'!E52)</f>
        <v/>
      </c>
    </row>
    <row r="43" spans="2:9" x14ac:dyDescent="0.25">
      <c r="B43" s="144"/>
      <c r="C43" s="139"/>
      <c r="D43" s="136" t="str">
        <f>IF(DISEÑO!B109="","",DISEÑO!A109)</f>
        <v/>
      </c>
      <c r="E43" s="137" t="str">
        <f>IF(DISEÑO!B37="","",DISEÑO!B37)</f>
        <v/>
      </c>
      <c r="F43" s="137" t="str">
        <f>IF(DISEÑO!C109="","",DISEÑO!C109)</f>
        <v/>
      </c>
      <c r="G43" s="137" t="str">
        <f>IF('DISEÑO POR SISMO'!E53="","",'DISEÑO POR SISMO'!E53)</f>
        <v/>
      </c>
    </row>
    <row r="44" spans="2:9" x14ac:dyDescent="0.25">
      <c r="B44" s="144"/>
      <c r="C44" s="139"/>
      <c r="D44" s="136" t="str">
        <f>IF(DISEÑO!B110="","",DISEÑO!A110)</f>
        <v/>
      </c>
      <c r="E44" s="137" t="str">
        <f>IF(DISEÑO!B38="","",DISEÑO!B38)</f>
        <v/>
      </c>
      <c r="F44" s="137" t="str">
        <f>IF(DISEÑO!C110="","",DISEÑO!C110)</f>
        <v/>
      </c>
      <c r="G44" s="137" t="str">
        <f>IF('DISEÑO POR SISMO'!E54="","",'DISEÑO POR SISMO'!E54)</f>
        <v/>
      </c>
    </row>
    <row r="45" spans="2:9" x14ac:dyDescent="0.25">
      <c r="B45" s="144"/>
      <c r="C45" s="139"/>
      <c r="D45" s="136" t="str">
        <f>IF(DISEÑO!B111="","",DISEÑO!A111)</f>
        <v/>
      </c>
      <c r="E45" s="137" t="str">
        <f>IF(DISEÑO!B39="","",DISEÑO!B39)</f>
        <v/>
      </c>
      <c r="F45" s="137" t="str">
        <f>IF(DISEÑO!C111="","",DISEÑO!C111)</f>
        <v/>
      </c>
      <c r="G45" s="137" t="str">
        <f>IF('DISEÑO POR SISMO'!E55="","",'DISEÑO POR SISMO'!E55)</f>
        <v/>
      </c>
    </row>
    <row r="46" spans="2:9" x14ac:dyDescent="0.25">
      <c r="B46" s="144"/>
      <c r="C46" s="139"/>
      <c r="D46" s="136" t="str">
        <f>IF(DISEÑO!B112="","",DISEÑO!A112)</f>
        <v/>
      </c>
      <c r="E46" s="137" t="str">
        <f>IF(DISEÑO!B40="","",DISEÑO!B40)</f>
        <v/>
      </c>
      <c r="F46" s="137" t="str">
        <f>IF(DISEÑO!C112="","",DISEÑO!C112)</f>
        <v/>
      </c>
      <c r="G46" s="137" t="str">
        <f>IF('DISEÑO POR SISMO'!E56="","",'DISEÑO POR SISMO'!E56)</f>
        <v/>
      </c>
    </row>
    <row r="47" spans="2:9" x14ac:dyDescent="0.25">
      <c r="B47" s="144"/>
      <c r="C47" s="139"/>
      <c r="D47" s="136" t="str">
        <f>IF(DISEÑO!B113="","",DISEÑO!A113)</f>
        <v/>
      </c>
      <c r="E47" s="137" t="str">
        <f>IF(DISEÑO!B41="","",DISEÑO!B41)</f>
        <v/>
      </c>
      <c r="F47" s="137" t="str">
        <f>IF(DISEÑO!C113="","",DISEÑO!C113)</f>
        <v/>
      </c>
      <c r="G47" s="137" t="str">
        <f>IF('DISEÑO POR SISMO'!E57="","",'DISEÑO POR SISMO'!E57)</f>
        <v/>
      </c>
    </row>
    <row r="48" spans="2:9" x14ac:dyDescent="0.25">
      <c r="B48" s="144"/>
      <c r="C48" s="139"/>
      <c r="D48" s="136" t="str">
        <f>IF(DISEÑO!B114="","",DISEÑO!A114)</f>
        <v/>
      </c>
      <c r="E48" s="137" t="str">
        <f>IF(DISEÑO!B42="","",DISEÑO!B42)</f>
        <v/>
      </c>
      <c r="F48" s="137" t="str">
        <f>IF(DISEÑO!C114="","",DISEÑO!C114)</f>
        <v/>
      </c>
      <c r="G48" s="137" t="str">
        <f>IF('DISEÑO POR SISMO'!E58="","",'DISEÑO POR SISMO'!E58)</f>
        <v/>
      </c>
    </row>
    <row r="49" spans="1:11" x14ac:dyDescent="0.25">
      <c r="B49" s="144"/>
      <c r="C49" s="139"/>
      <c r="D49" s="136" t="str">
        <f>IF(DISEÑO!B115="","",DISEÑO!A115)</f>
        <v/>
      </c>
      <c r="E49" s="137" t="str">
        <f>IF(DISEÑO!B43="","",DISEÑO!B43)</f>
        <v/>
      </c>
      <c r="F49" s="137" t="str">
        <f>IF(DISEÑO!C115="","",DISEÑO!C115)</f>
        <v/>
      </c>
      <c r="G49" s="137" t="str">
        <f>IF('DISEÑO POR SISMO'!E59="","",'DISEÑO POR SISMO'!E59)</f>
        <v/>
      </c>
    </row>
    <row r="50" spans="1:11" x14ac:dyDescent="0.25">
      <c r="B50" s="144"/>
      <c r="C50" s="139"/>
      <c r="D50" s="136" t="str">
        <f>IF(DISEÑO!B116="","",DISEÑO!A116)</f>
        <v/>
      </c>
      <c r="E50" s="137" t="str">
        <f>IF(DISEÑO!B44="","",DISEÑO!B44)</f>
        <v/>
      </c>
      <c r="F50" s="137" t="str">
        <f>IF(DISEÑO!C116="","",DISEÑO!C116)</f>
        <v/>
      </c>
      <c r="G50" s="137" t="str">
        <f>IF('DISEÑO POR SISMO'!E60="","",'DISEÑO POR SISMO'!E60)</f>
        <v/>
      </c>
    </row>
    <row r="51" spans="1:11" x14ac:dyDescent="0.25">
      <c r="B51" s="144"/>
      <c r="C51" s="139"/>
      <c r="D51" s="136" t="str">
        <f>IF(DISEÑO!B117="","",DISEÑO!A117)</f>
        <v/>
      </c>
      <c r="E51" s="137" t="str">
        <f>IF(DISEÑO!B45="","",DISEÑO!B45)</f>
        <v/>
      </c>
      <c r="F51" s="137" t="str">
        <f>IF(DISEÑO!C117="","",DISEÑO!C117)</f>
        <v/>
      </c>
      <c r="G51" s="137" t="str">
        <f>IF('DISEÑO POR SISMO'!E61="","",'DISEÑO POR SISMO'!E61)</f>
        <v/>
      </c>
    </row>
    <row r="52" spans="1:11" x14ac:dyDescent="0.25">
      <c r="B52" s="144"/>
      <c r="C52" s="139"/>
      <c r="D52" s="136" t="str">
        <f>IF(DISEÑO!B118="","",DISEÑO!A118)</f>
        <v/>
      </c>
      <c r="E52" s="137" t="str">
        <f>IF(DISEÑO!B46="","",DISEÑO!B46)</f>
        <v/>
      </c>
      <c r="F52" s="137" t="str">
        <f>IF(DISEÑO!C118="","",DISEÑO!C118)</f>
        <v/>
      </c>
      <c r="G52" s="137" t="str">
        <f>IF('DISEÑO POR SISMO'!E62="","",'DISEÑO POR SISMO'!E62)</f>
        <v/>
      </c>
    </row>
    <row r="53" spans="1:11" x14ac:dyDescent="0.25">
      <c r="B53" s="144"/>
      <c r="C53" s="139"/>
      <c r="D53" s="136" t="str">
        <f>IF(DISEÑO!B119="","",DISEÑO!A119)</f>
        <v/>
      </c>
      <c r="E53" s="137" t="str">
        <f>IF(DISEÑO!B47="","",DISEÑO!B47)</f>
        <v/>
      </c>
      <c r="F53" s="137" t="str">
        <f>IF(DISEÑO!C119="","",DISEÑO!C119)</f>
        <v/>
      </c>
      <c r="G53" s="137" t="str">
        <f>IF('DISEÑO POR SISMO'!E63="","",'DISEÑO POR SISMO'!E63)</f>
        <v/>
      </c>
    </row>
    <row r="54" spans="1:11" x14ac:dyDescent="0.25">
      <c r="B54" s="144"/>
      <c r="C54" s="139"/>
      <c r="D54" s="136" t="str">
        <f>IF(DISEÑO!B120="","",DISEÑO!A120)</f>
        <v/>
      </c>
      <c r="E54" s="137" t="str">
        <f>IF(DISEÑO!B48="","",DISEÑO!B48)</f>
        <v/>
      </c>
      <c r="F54" s="137" t="str">
        <f>IF(DISEÑO!C120="","",DISEÑO!C120)</f>
        <v/>
      </c>
      <c r="G54" s="137" t="str">
        <f>IF('DISEÑO POR SISMO'!E64="","",'DISEÑO POR SISMO'!E64)</f>
        <v/>
      </c>
    </row>
    <row r="55" spans="1:11" x14ac:dyDescent="0.25">
      <c r="B55" s="144"/>
      <c r="C55" s="139"/>
      <c r="D55" s="136" t="str">
        <f>IF(DISEÑO!B121="","",DISEÑO!A121)</f>
        <v/>
      </c>
      <c r="E55" s="137" t="str">
        <f>IF(DISEÑO!B49="","",DISEÑO!B49)</f>
        <v/>
      </c>
      <c r="F55" s="137" t="str">
        <f>IF(DISEÑO!C121="","",DISEÑO!C121)</f>
        <v/>
      </c>
      <c r="G55" s="137" t="str">
        <f>IF('DISEÑO POR SISMO'!E65="","",'DISEÑO POR SISMO'!E65)</f>
        <v/>
      </c>
    </row>
    <row r="56" spans="1:11" x14ac:dyDescent="0.25">
      <c r="B56" s="144"/>
      <c r="C56" s="139"/>
      <c r="D56" s="136" t="str">
        <f>IF(DISEÑO!B122="","",DISEÑO!A122)</f>
        <v/>
      </c>
      <c r="E56" s="137" t="str">
        <f>IF(DISEÑO!B50="","",DISEÑO!B50)</f>
        <v/>
      </c>
      <c r="F56" s="137" t="str">
        <f>IF(DISEÑO!C122="","",DISEÑO!C122)</f>
        <v/>
      </c>
      <c r="G56" s="137" t="str">
        <f>IF('DISEÑO POR SISMO'!E66="","",'DISEÑO POR SISMO'!E66)</f>
        <v/>
      </c>
    </row>
    <row r="57" spans="1:11" x14ac:dyDescent="0.25">
      <c r="B57" s="144"/>
      <c r="C57" s="139"/>
      <c r="D57" s="136" t="str">
        <f>IF(DISEÑO!B123="","",DISEÑO!A123)</f>
        <v/>
      </c>
      <c r="E57" s="137" t="str">
        <f>IF(DISEÑO!B51="","",DISEÑO!B51)</f>
        <v/>
      </c>
      <c r="F57" s="137" t="str">
        <f>IF(DISEÑO!C123="","",DISEÑO!C123)</f>
        <v/>
      </c>
      <c r="G57" s="137" t="str">
        <f>IF('DISEÑO POR SISMO'!E67="","",'DISEÑO POR SISMO'!E67)</f>
        <v/>
      </c>
    </row>
    <row r="58" spans="1:11" x14ac:dyDescent="0.25">
      <c r="B58" s="144"/>
      <c r="C58" s="139"/>
      <c r="D58" s="136" t="str">
        <f>IF(DISEÑO!B124="","",DISEÑO!A124)</f>
        <v/>
      </c>
      <c r="E58" s="137" t="str">
        <f>IF(DISEÑO!B52="","",DISEÑO!B52)</f>
        <v/>
      </c>
      <c r="F58" s="137" t="str">
        <f>IF(DISEÑO!C124="","",DISEÑO!C124)</f>
        <v/>
      </c>
      <c r="G58" s="137" t="str">
        <f>IF('DISEÑO POR SISMO'!E68="","",'DISEÑO POR SISMO'!E68)</f>
        <v/>
      </c>
    </row>
    <row r="59" spans="1:11" x14ac:dyDescent="0.25">
      <c r="A59" s="139"/>
      <c r="B59" s="144"/>
      <c r="C59" s="139"/>
      <c r="D59" s="136" t="str">
        <f>IF(DISEÑO!B125="","",DISEÑO!A125)</f>
        <v/>
      </c>
      <c r="E59" s="137" t="str">
        <f>IF(DISEÑO!B53="","",DISEÑO!B53)</f>
        <v/>
      </c>
      <c r="F59" s="137" t="str">
        <f>IF(DISEÑO!C125="","",DISEÑO!C125)</f>
        <v/>
      </c>
      <c r="G59" s="137" t="str">
        <f>IF('DISEÑO POR SISMO'!E69="","",'DISEÑO POR SISMO'!E69)</f>
        <v/>
      </c>
      <c r="I59" s="139"/>
      <c r="J59" s="139"/>
      <c r="K59" s="139"/>
    </row>
    <row r="60" spans="1:11" x14ac:dyDescent="0.25">
      <c r="A60" s="139"/>
      <c r="B60" s="144"/>
      <c r="C60" s="139"/>
      <c r="D60" s="136" t="str">
        <f>IF(DISEÑO!B126="","",DISEÑO!A126)</f>
        <v/>
      </c>
      <c r="E60" s="137" t="str">
        <f>IF(DISEÑO!B54="","",DISEÑO!B54)</f>
        <v/>
      </c>
      <c r="F60" s="137" t="str">
        <f>IF(DISEÑO!C126="","",DISEÑO!C126)</f>
        <v/>
      </c>
      <c r="G60" s="137" t="str">
        <f>IF('DISEÑO POR SISMO'!E70="","",'DISEÑO POR SISMO'!E70)</f>
        <v/>
      </c>
      <c r="I60" s="139"/>
      <c r="J60" s="139"/>
      <c r="K60" s="139"/>
    </row>
    <row r="61" spans="1:11" x14ac:dyDescent="0.25">
      <c r="A61" s="140"/>
      <c r="B61" s="145"/>
      <c r="C61" s="139"/>
      <c r="D61" s="136" t="str">
        <f>IF(DISEÑO!B127="","",DISEÑO!A127)</f>
        <v/>
      </c>
      <c r="E61" s="137" t="str">
        <f>IF(DISEÑO!B55="","",DISEÑO!B55)</f>
        <v/>
      </c>
      <c r="F61" s="137" t="str">
        <f>IF(DISEÑO!C127="","",DISEÑO!C127)</f>
        <v/>
      </c>
      <c r="G61" s="137" t="str">
        <f>IF('DISEÑO POR SISMO'!E71="","",'DISEÑO POR SISMO'!E71)</f>
        <v/>
      </c>
      <c r="I61" s="140"/>
      <c r="J61" s="140"/>
      <c r="K61" s="140"/>
    </row>
    <row r="62" spans="1:11" x14ac:dyDescent="0.25">
      <c r="A62" s="140"/>
      <c r="B62" s="145"/>
      <c r="C62" s="139"/>
      <c r="D62" s="136" t="str">
        <f>IF(DISEÑO!B128="","",DISEÑO!A128)</f>
        <v/>
      </c>
      <c r="E62" s="137" t="str">
        <f>IF(DISEÑO!B56="","",DISEÑO!B56)</f>
        <v/>
      </c>
      <c r="F62" s="137" t="str">
        <f>IF(DISEÑO!C128="","",DISEÑO!C128)</f>
        <v/>
      </c>
      <c r="G62" s="137" t="str">
        <f>IF('DISEÑO POR SISMO'!E72="","",'DISEÑO POR SISMO'!E72)</f>
        <v/>
      </c>
      <c r="I62" s="140"/>
      <c r="J62" s="140"/>
      <c r="K62" s="140"/>
    </row>
    <row r="63" spans="1:11" x14ac:dyDescent="0.25">
      <c r="A63" s="140"/>
      <c r="B63" s="145"/>
      <c r="C63" s="139"/>
      <c r="D63" s="136" t="str">
        <f>IF(DISEÑO!B129="","",DISEÑO!A129)</f>
        <v/>
      </c>
      <c r="E63" s="137" t="str">
        <f>IF(DISEÑO!B57="","",DISEÑO!B57)</f>
        <v/>
      </c>
      <c r="F63" s="137" t="str">
        <f>IF(DISEÑO!C129="","",DISEÑO!C129)</f>
        <v/>
      </c>
      <c r="G63" s="137" t="str">
        <f>IF('DISEÑO POR SISMO'!E73="","",'DISEÑO POR SISMO'!E73)</f>
        <v/>
      </c>
      <c r="I63" s="140"/>
      <c r="J63" s="140"/>
      <c r="K63" s="140"/>
    </row>
    <row r="64" spans="1:11" x14ac:dyDescent="0.25">
      <c r="A64" s="140"/>
      <c r="B64" s="145"/>
      <c r="C64" s="139"/>
      <c r="D64" s="136" t="str">
        <f>IF(DISEÑO!B130="","",DISEÑO!A130)</f>
        <v/>
      </c>
      <c r="E64" s="137" t="str">
        <f>IF(DISEÑO!B58="","",DISEÑO!B58)</f>
        <v/>
      </c>
      <c r="F64" s="137" t="str">
        <f>IF(DISEÑO!C130="","",DISEÑO!C130)</f>
        <v/>
      </c>
      <c r="G64" s="137" t="str">
        <f>IF('DISEÑO POR SISMO'!E74="","",'DISEÑO POR SISMO'!E74)</f>
        <v/>
      </c>
      <c r="I64" s="140"/>
      <c r="J64" s="140"/>
      <c r="K64" s="140"/>
    </row>
    <row r="65" spans="1:11" x14ac:dyDescent="0.25">
      <c r="A65" s="140"/>
      <c r="B65" s="145"/>
      <c r="C65" s="139"/>
      <c r="D65" s="141" t="str">
        <f>IF(DISEÑO!G101="","",DISEÑO!F101)</f>
        <v/>
      </c>
      <c r="E65" s="138" t="str">
        <f>IF(DISEÑO!G29="","",DISEÑO!G29)</f>
        <v/>
      </c>
      <c r="F65" s="138" t="str">
        <f>IF(DISEÑO!H101="","",DISEÑO!H101)</f>
        <v/>
      </c>
      <c r="G65" s="138" t="str">
        <f>IF('DISEÑO POR SISMO'!K45="","",'DISEÑO POR SISMO'!K45)</f>
        <v/>
      </c>
      <c r="I65" s="140"/>
      <c r="J65" s="140"/>
      <c r="K65" s="140"/>
    </row>
    <row r="66" spans="1:11" x14ac:dyDescent="0.25">
      <c r="A66" s="140"/>
      <c r="B66" s="145"/>
      <c r="C66" s="139"/>
      <c r="D66" s="141" t="str">
        <f>IF(DISEÑO!G102="","",DISEÑO!F102)</f>
        <v/>
      </c>
      <c r="E66" s="138" t="str">
        <f>IF(DISEÑO!G30="","",DISEÑO!G30)</f>
        <v/>
      </c>
      <c r="F66" s="138" t="str">
        <f>IF(DISEÑO!H102="","",DISEÑO!H102)</f>
        <v/>
      </c>
      <c r="G66" s="138" t="str">
        <f>IF('DISEÑO POR SISMO'!K46="","",'DISEÑO POR SISMO'!K46)</f>
        <v/>
      </c>
      <c r="I66" s="140"/>
      <c r="J66" s="140"/>
      <c r="K66" s="140"/>
    </row>
    <row r="67" spans="1:11" x14ac:dyDescent="0.25">
      <c r="A67" s="140"/>
      <c r="B67" s="145"/>
      <c r="C67" s="139"/>
      <c r="D67" s="141" t="str">
        <f>IF(DISEÑO!G103="","",DISEÑO!F103)</f>
        <v/>
      </c>
      <c r="E67" s="138" t="str">
        <f>IF(DISEÑO!G31="","",DISEÑO!G31)</f>
        <v/>
      </c>
      <c r="F67" s="138" t="str">
        <f>IF(DISEÑO!H103="","",DISEÑO!H103)</f>
        <v/>
      </c>
      <c r="G67" s="138" t="str">
        <f>IF('DISEÑO POR SISMO'!K47="","",'DISEÑO POR SISMO'!K47)</f>
        <v/>
      </c>
      <c r="I67" s="140"/>
      <c r="J67" s="140"/>
      <c r="K67" s="140"/>
    </row>
    <row r="68" spans="1:11" x14ac:dyDescent="0.25">
      <c r="A68" s="140"/>
      <c r="B68" s="145"/>
      <c r="C68" s="139"/>
      <c r="D68" s="141" t="str">
        <f>IF(DISEÑO!G104="","",DISEÑO!F104)</f>
        <v/>
      </c>
      <c r="E68" s="138" t="str">
        <f>IF(DISEÑO!G32="","",DISEÑO!G32)</f>
        <v/>
      </c>
      <c r="F68" s="138" t="str">
        <f>IF(DISEÑO!H104="","",DISEÑO!H104)</f>
        <v/>
      </c>
      <c r="G68" s="138" t="str">
        <f>IF('DISEÑO POR SISMO'!K48="","",'DISEÑO POR SISMO'!K48)</f>
        <v/>
      </c>
      <c r="I68" s="140"/>
      <c r="J68" s="140"/>
      <c r="K68" s="140"/>
    </row>
    <row r="69" spans="1:11" x14ac:dyDescent="0.25">
      <c r="A69" s="140"/>
      <c r="B69" s="145"/>
      <c r="C69" s="139"/>
      <c r="D69" s="141" t="str">
        <f>IF(DISEÑO!G105="","",DISEÑO!F105)</f>
        <v/>
      </c>
      <c r="E69" s="138" t="str">
        <f>IF(DISEÑO!G33="","",DISEÑO!G33)</f>
        <v/>
      </c>
      <c r="F69" s="138" t="str">
        <f>IF(DISEÑO!H105="","",DISEÑO!H105)</f>
        <v/>
      </c>
      <c r="G69" s="138" t="str">
        <f>IF('DISEÑO POR SISMO'!K49="","",'DISEÑO POR SISMO'!K49)</f>
        <v/>
      </c>
      <c r="I69" s="140"/>
      <c r="J69" s="140"/>
      <c r="K69" s="140"/>
    </row>
    <row r="70" spans="1:11" x14ac:dyDescent="0.25">
      <c r="A70" s="140"/>
      <c r="B70" s="145"/>
      <c r="C70" s="139"/>
      <c r="D70" s="141" t="str">
        <f>IF(DISEÑO!G106="","",DISEÑO!F106)</f>
        <v/>
      </c>
      <c r="E70" s="138" t="str">
        <f>IF(DISEÑO!G34="","",DISEÑO!G34)</f>
        <v/>
      </c>
      <c r="F70" s="138" t="str">
        <f>IF(DISEÑO!H106="","",DISEÑO!H106)</f>
        <v/>
      </c>
      <c r="G70" s="138" t="str">
        <f>IF('DISEÑO POR SISMO'!K50="","",'DISEÑO POR SISMO'!K50)</f>
        <v/>
      </c>
      <c r="I70" s="140"/>
      <c r="J70" s="140"/>
      <c r="K70" s="140"/>
    </row>
    <row r="71" spans="1:11" x14ac:dyDescent="0.25">
      <c r="A71" s="140"/>
      <c r="B71" s="145"/>
      <c r="C71" s="139"/>
      <c r="D71" s="141" t="str">
        <f>IF(DISEÑO!G107="","",DISEÑO!F107)</f>
        <v/>
      </c>
      <c r="E71" s="138" t="str">
        <f>IF(DISEÑO!G35="","",DISEÑO!G35)</f>
        <v/>
      </c>
      <c r="F71" s="138" t="str">
        <f>IF(DISEÑO!H107="","",DISEÑO!H107)</f>
        <v/>
      </c>
      <c r="G71" s="138" t="str">
        <f>IF('DISEÑO POR SISMO'!K51="","",'DISEÑO POR SISMO'!K51)</f>
        <v/>
      </c>
      <c r="I71" s="140"/>
      <c r="J71" s="140"/>
      <c r="K71" s="140"/>
    </row>
    <row r="72" spans="1:11" x14ac:dyDescent="0.25">
      <c r="A72" s="140"/>
      <c r="B72" s="145"/>
      <c r="C72" s="139"/>
      <c r="D72" s="141" t="str">
        <f>IF(DISEÑO!G108="","",DISEÑO!F108)</f>
        <v/>
      </c>
      <c r="E72" s="138" t="str">
        <f>IF(DISEÑO!G36="","",DISEÑO!G36)</f>
        <v/>
      </c>
      <c r="F72" s="138" t="str">
        <f>IF(DISEÑO!H108="","",DISEÑO!H108)</f>
        <v/>
      </c>
      <c r="G72" s="138" t="str">
        <f>IF('DISEÑO POR SISMO'!K52="","",'DISEÑO POR SISMO'!K52)</f>
        <v/>
      </c>
      <c r="I72" s="140"/>
      <c r="J72" s="140"/>
      <c r="K72" s="140"/>
    </row>
    <row r="73" spans="1:11" x14ac:dyDescent="0.25">
      <c r="A73" s="140"/>
      <c r="B73" s="145"/>
      <c r="C73" s="139"/>
      <c r="D73" s="141" t="str">
        <f>IF(DISEÑO!G109="","",DISEÑO!F109)</f>
        <v/>
      </c>
      <c r="E73" s="138" t="str">
        <f>IF(DISEÑO!G37="","",DISEÑO!G37)</f>
        <v/>
      </c>
      <c r="F73" s="138" t="str">
        <f>IF(DISEÑO!H109="","",DISEÑO!H109)</f>
        <v/>
      </c>
      <c r="G73" s="138" t="str">
        <f>IF('DISEÑO POR SISMO'!K53="","",'DISEÑO POR SISMO'!K53)</f>
        <v/>
      </c>
      <c r="I73" s="140"/>
      <c r="J73" s="140"/>
      <c r="K73" s="140"/>
    </row>
    <row r="74" spans="1:11" x14ac:dyDescent="0.25">
      <c r="A74" s="140"/>
      <c r="B74" s="145"/>
      <c r="C74" s="139"/>
      <c r="D74" s="141" t="str">
        <f>IF(DISEÑO!G110="","",DISEÑO!F110)</f>
        <v/>
      </c>
      <c r="E74" s="138" t="str">
        <f>IF(DISEÑO!G38="","",DISEÑO!G38)</f>
        <v/>
      </c>
      <c r="F74" s="138" t="str">
        <f>IF(DISEÑO!H110="","",DISEÑO!H110)</f>
        <v/>
      </c>
      <c r="G74" s="138" t="str">
        <f>IF('DISEÑO POR SISMO'!K54="","",'DISEÑO POR SISMO'!K54)</f>
        <v/>
      </c>
      <c r="I74" s="140"/>
      <c r="J74" s="140"/>
      <c r="K74" s="140"/>
    </row>
    <row r="75" spans="1:11" x14ac:dyDescent="0.25">
      <c r="A75" s="140"/>
      <c r="B75" s="145"/>
      <c r="C75" s="139"/>
      <c r="D75" s="141" t="str">
        <f>IF(DISEÑO!G111="","",DISEÑO!F111)</f>
        <v/>
      </c>
      <c r="E75" s="138" t="str">
        <f>IF(DISEÑO!G39="","",DISEÑO!G39)</f>
        <v/>
      </c>
      <c r="F75" s="138" t="str">
        <f>IF(DISEÑO!H111="","",DISEÑO!H111)</f>
        <v/>
      </c>
      <c r="G75" s="138" t="str">
        <f>IF('DISEÑO POR SISMO'!K55="","",'DISEÑO POR SISMO'!K55)</f>
        <v/>
      </c>
      <c r="I75" s="140"/>
      <c r="J75" s="140"/>
      <c r="K75" s="140"/>
    </row>
    <row r="76" spans="1:11" x14ac:dyDescent="0.25">
      <c r="A76" s="140"/>
      <c r="B76" s="145"/>
      <c r="C76" s="139"/>
      <c r="D76" s="141" t="str">
        <f>IF(DISEÑO!G112="","",DISEÑO!F112)</f>
        <v/>
      </c>
      <c r="E76" s="138" t="str">
        <f>IF(DISEÑO!G40="","",DISEÑO!G40)</f>
        <v/>
      </c>
      <c r="F76" s="138" t="str">
        <f>IF(DISEÑO!H112="","",DISEÑO!H112)</f>
        <v/>
      </c>
      <c r="G76" s="138" t="str">
        <f>IF('DISEÑO POR SISMO'!K56="","",'DISEÑO POR SISMO'!K56)</f>
        <v/>
      </c>
      <c r="I76" s="140"/>
      <c r="J76" s="140"/>
      <c r="K76" s="140"/>
    </row>
    <row r="77" spans="1:11" x14ac:dyDescent="0.25">
      <c r="A77" s="140"/>
      <c r="B77" s="145"/>
      <c r="C77" s="144"/>
      <c r="D77" s="141" t="str">
        <f>IF(DISEÑO!G113="","",DISEÑO!F113)</f>
        <v/>
      </c>
      <c r="E77" s="138" t="str">
        <f>IF(DISEÑO!G41="","",DISEÑO!G41)</f>
        <v/>
      </c>
      <c r="F77" s="138" t="str">
        <f>IF(DISEÑO!H113="","",DISEÑO!H113)</f>
        <v/>
      </c>
      <c r="G77" s="138" t="str">
        <f>IF('DISEÑO POR SISMO'!K57="","",'DISEÑO POR SISMO'!K57)</f>
        <v/>
      </c>
      <c r="I77" s="140"/>
      <c r="J77" s="140"/>
      <c r="K77" s="140"/>
    </row>
    <row r="78" spans="1:11" x14ac:dyDescent="0.25">
      <c r="A78" s="140"/>
      <c r="B78" s="145"/>
      <c r="C78" s="144"/>
      <c r="D78" s="141" t="str">
        <f>IF(DISEÑO!G114="","",DISEÑO!F114)</f>
        <v/>
      </c>
      <c r="E78" s="138" t="str">
        <f>IF(DISEÑO!G42="","",DISEÑO!G42)</f>
        <v/>
      </c>
      <c r="F78" s="138" t="str">
        <f>IF(DISEÑO!H114="","",DISEÑO!H114)</f>
        <v/>
      </c>
      <c r="G78" s="138" t="str">
        <f>IF('DISEÑO POR SISMO'!K58="","",'DISEÑO POR SISMO'!K58)</f>
        <v/>
      </c>
      <c r="I78" s="140"/>
      <c r="J78" s="140"/>
      <c r="K78" s="140"/>
    </row>
    <row r="79" spans="1:11" x14ac:dyDescent="0.25">
      <c r="A79" s="140"/>
      <c r="B79" s="145"/>
      <c r="C79" s="144"/>
      <c r="D79" s="141" t="str">
        <f>IF(DISEÑO!G115="","",DISEÑO!F115)</f>
        <v/>
      </c>
      <c r="E79" s="138" t="str">
        <f>IF(DISEÑO!G43="","",DISEÑO!G43)</f>
        <v/>
      </c>
      <c r="F79" s="138" t="str">
        <f>IF(DISEÑO!H115="","",DISEÑO!H115)</f>
        <v/>
      </c>
      <c r="G79" s="138" t="str">
        <f>IF('DISEÑO POR SISMO'!K59="","",'DISEÑO POR SISMO'!K59)</f>
        <v/>
      </c>
      <c r="I79" s="140"/>
      <c r="J79" s="140"/>
      <c r="K79" s="140"/>
    </row>
    <row r="80" spans="1:11" x14ac:dyDescent="0.25">
      <c r="A80" s="140"/>
      <c r="B80" s="145"/>
      <c r="C80" s="144"/>
      <c r="D80" s="141" t="str">
        <f>IF(DISEÑO!G116="","",DISEÑO!F116)</f>
        <v/>
      </c>
      <c r="E80" s="138" t="str">
        <f>IF(DISEÑO!G44="","",DISEÑO!G44)</f>
        <v/>
      </c>
      <c r="F80" s="138" t="str">
        <f>IF(DISEÑO!H116="","",DISEÑO!H116)</f>
        <v/>
      </c>
      <c r="G80" s="138" t="str">
        <f>IF('DISEÑO POR SISMO'!K60="","",'DISEÑO POR SISMO'!K60)</f>
        <v/>
      </c>
      <c r="I80" s="140"/>
      <c r="J80" s="140"/>
      <c r="K80" s="140"/>
    </row>
    <row r="81" spans="1:11" x14ac:dyDescent="0.25">
      <c r="A81" s="140"/>
      <c r="B81" s="145"/>
      <c r="C81" s="144"/>
      <c r="D81" s="141" t="str">
        <f>IF(DISEÑO!G117="","",DISEÑO!F117)</f>
        <v/>
      </c>
      <c r="E81" s="138" t="str">
        <f>IF(DISEÑO!G45="","",DISEÑO!G45)</f>
        <v/>
      </c>
      <c r="F81" s="138" t="str">
        <f>IF(DISEÑO!H117="","",DISEÑO!H117)</f>
        <v/>
      </c>
      <c r="G81" s="138" t="str">
        <f>IF('DISEÑO POR SISMO'!K61="","",'DISEÑO POR SISMO'!K61)</f>
        <v/>
      </c>
      <c r="I81" s="140"/>
      <c r="J81" s="140"/>
      <c r="K81" s="140"/>
    </row>
    <row r="82" spans="1:11" x14ac:dyDescent="0.25">
      <c r="A82" s="140"/>
      <c r="B82" s="145"/>
      <c r="C82" s="144"/>
      <c r="D82" s="141" t="str">
        <f>IF(DISEÑO!G118="","",DISEÑO!F118)</f>
        <v/>
      </c>
      <c r="E82" s="138" t="str">
        <f>IF(DISEÑO!G46="","",DISEÑO!G46)</f>
        <v/>
      </c>
      <c r="F82" s="138" t="str">
        <f>IF(DISEÑO!H118="","",DISEÑO!H118)</f>
        <v/>
      </c>
      <c r="G82" s="138" t="str">
        <f>IF('DISEÑO POR SISMO'!K62="","",'DISEÑO POR SISMO'!K62)</f>
        <v/>
      </c>
      <c r="I82" s="140"/>
      <c r="J82" s="140"/>
      <c r="K82" s="140"/>
    </row>
    <row r="83" spans="1:11" x14ac:dyDescent="0.25">
      <c r="A83" s="140"/>
      <c r="B83" s="145"/>
      <c r="C83" s="144"/>
      <c r="D83" s="141" t="str">
        <f>IF(DISEÑO!G119="","",DISEÑO!F119)</f>
        <v/>
      </c>
      <c r="E83" s="138" t="str">
        <f>IF(DISEÑO!G47="","",DISEÑO!G47)</f>
        <v/>
      </c>
      <c r="F83" s="138" t="str">
        <f>IF(DISEÑO!H119="","",DISEÑO!H119)</f>
        <v/>
      </c>
      <c r="G83" s="138" t="str">
        <f>IF('DISEÑO POR SISMO'!K63="","",'DISEÑO POR SISMO'!K63)</f>
        <v/>
      </c>
      <c r="I83" s="140"/>
      <c r="J83" s="140"/>
      <c r="K83" s="140"/>
    </row>
    <row r="84" spans="1:11" x14ac:dyDescent="0.25">
      <c r="A84" s="140"/>
      <c r="B84" s="145"/>
      <c r="C84" s="144"/>
      <c r="D84" s="141" t="str">
        <f>IF(DISEÑO!G120="","",DISEÑO!F120)</f>
        <v/>
      </c>
      <c r="E84" s="138" t="str">
        <f>IF(DISEÑO!G48="","",DISEÑO!G48)</f>
        <v/>
      </c>
      <c r="F84" s="138" t="str">
        <f>IF(DISEÑO!H120="","",DISEÑO!H120)</f>
        <v/>
      </c>
      <c r="G84" s="138" t="str">
        <f>IF('DISEÑO POR SISMO'!K64="","",'DISEÑO POR SISMO'!K64)</f>
        <v/>
      </c>
      <c r="I84" s="140"/>
      <c r="J84" s="140"/>
      <c r="K84" s="140"/>
    </row>
    <row r="85" spans="1:11" x14ac:dyDescent="0.25">
      <c r="A85" s="85"/>
      <c r="B85" s="145"/>
      <c r="C85" s="144"/>
      <c r="D85" s="141" t="str">
        <f>IF(DISEÑO!G121="","",DISEÑO!F121)</f>
        <v/>
      </c>
      <c r="E85" s="138" t="str">
        <f>IF(DISEÑO!G49="","",DISEÑO!G49)</f>
        <v/>
      </c>
      <c r="F85" s="138" t="str">
        <f>IF(DISEÑO!H121="","",DISEÑO!H121)</f>
        <v/>
      </c>
      <c r="G85" s="138" t="str">
        <f>IF('DISEÑO POR SISMO'!K65="","",'DISEÑO POR SISMO'!K65)</f>
        <v/>
      </c>
      <c r="I85" s="85"/>
      <c r="J85" s="85"/>
      <c r="K85" s="85"/>
    </row>
    <row r="86" spans="1:11" x14ac:dyDescent="0.25">
      <c r="A86" s="85"/>
      <c r="B86" s="145"/>
      <c r="C86" s="144"/>
      <c r="D86" s="141" t="str">
        <f>IF(DISEÑO!G122="","",DISEÑO!F122)</f>
        <v/>
      </c>
      <c r="E86" s="138" t="str">
        <f>IF(DISEÑO!G50="","",DISEÑO!G50)</f>
        <v/>
      </c>
      <c r="F86" s="138" t="str">
        <f>IF(DISEÑO!H122="","",DISEÑO!H122)</f>
        <v/>
      </c>
      <c r="G86" s="138" t="str">
        <f>IF('DISEÑO POR SISMO'!K66="","",'DISEÑO POR SISMO'!K66)</f>
        <v/>
      </c>
      <c r="I86" s="85"/>
      <c r="J86" s="85"/>
      <c r="K86" s="85"/>
    </row>
    <row r="87" spans="1:11" x14ac:dyDescent="0.25">
      <c r="A87" s="85"/>
      <c r="B87" s="145"/>
      <c r="C87" s="144"/>
      <c r="D87" s="141" t="str">
        <f>IF(DISEÑO!G123="","",DISEÑO!F123)</f>
        <v/>
      </c>
      <c r="E87" s="138" t="str">
        <f>IF(DISEÑO!G51="","",DISEÑO!G51)</f>
        <v/>
      </c>
      <c r="F87" s="138" t="str">
        <f>IF(DISEÑO!H123="","",DISEÑO!H123)</f>
        <v/>
      </c>
      <c r="G87" s="138" t="str">
        <f>IF('DISEÑO POR SISMO'!K67="","",'DISEÑO POR SISMO'!K67)</f>
        <v/>
      </c>
      <c r="I87" s="85"/>
      <c r="J87" s="85"/>
      <c r="K87" s="85"/>
    </row>
    <row r="88" spans="1:11" x14ac:dyDescent="0.25">
      <c r="A88" s="85"/>
      <c r="B88" s="145"/>
      <c r="C88" s="144"/>
      <c r="D88" s="141" t="str">
        <f>IF(DISEÑO!G124="","",DISEÑO!F124)</f>
        <v/>
      </c>
      <c r="E88" s="138" t="str">
        <f>IF(DISEÑO!G52="","",DISEÑO!G52)</f>
        <v/>
      </c>
      <c r="F88" s="138" t="str">
        <f>IF(DISEÑO!H124="","",DISEÑO!H124)</f>
        <v/>
      </c>
      <c r="G88" s="138" t="str">
        <f>IF('DISEÑO POR SISMO'!K68="","",'DISEÑO POR SISMO'!K68)</f>
        <v/>
      </c>
      <c r="I88" s="85"/>
      <c r="J88" s="85"/>
      <c r="K88" s="85"/>
    </row>
    <row r="89" spans="1:11" x14ac:dyDescent="0.25">
      <c r="A89" s="85"/>
      <c r="B89" s="145"/>
      <c r="C89" s="144"/>
      <c r="D89" s="141" t="str">
        <f>IF(DISEÑO!G125="","",DISEÑO!F125)</f>
        <v/>
      </c>
      <c r="E89" s="138" t="str">
        <f>IF(DISEÑO!G53="","",DISEÑO!G53)</f>
        <v/>
      </c>
      <c r="F89" s="138" t="str">
        <f>IF(DISEÑO!H125="","",DISEÑO!H125)</f>
        <v/>
      </c>
      <c r="G89" s="138" t="str">
        <f>IF('DISEÑO POR SISMO'!K69="","",'DISEÑO POR SISMO'!K69)</f>
        <v/>
      </c>
      <c r="I89" s="85"/>
      <c r="J89" s="85"/>
      <c r="K89" s="85"/>
    </row>
    <row r="90" spans="1:11" x14ac:dyDescent="0.25">
      <c r="A90" s="85"/>
      <c r="B90" s="145"/>
      <c r="C90" s="144"/>
      <c r="D90" s="141" t="str">
        <f>IF(DISEÑO!G126="","",DISEÑO!F126)</f>
        <v/>
      </c>
      <c r="E90" s="138" t="str">
        <f>IF(DISEÑO!G54="","",DISEÑO!G54)</f>
        <v/>
      </c>
      <c r="F90" s="138" t="str">
        <f>IF(DISEÑO!H126="","",DISEÑO!H126)</f>
        <v/>
      </c>
      <c r="G90" s="138" t="str">
        <f>IF('DISEÑO POR SISMO'!K70="","",'DISEÑO POR SISMO'!K70)</f>
        <v/>
      </c>
      <c r="I90" s="85"/>
      <c r="J90" s="85"/>
      <c r="K90" s="85"/>
    </row>
    <row r="91" spans="1:11" x14ac:dyDescent="0.25">
      <c r="A91" s="85"/>
      <c r="B91" s="145"/>
      <c r="C91" s="144"/>
      <c r="D91" s="141" t="str">
        <f>IF(DISEÑO!G127="","",DISEÑO!F127)</f>
        <v/>
      </c>
      <c r="E91" s="138" t="str">
        <f>IF(DISEÑO!G55="","",DISEÑO!G55)</f>
        <v/>
      </c>
      <c r="F91" s="138" t="str">
        <f>IF(DISEÑO!H127="","",DISEÑO!H127)</f>
        <v/>
      </c>
      <c r="G91" s="138" t="str">
        <f>IF('DISEÑO POR SISMO'!K71="","",'DISEÑO POR SISMO'!K71)</f>
        <v/>
      </c>
      <c r="I91" s="85"/>
      <c r="J91" s="85"/>
      <c r="K91" s="85"/>
    </row>
    <row r="92" spans="1:11" x14ac:dyDescent="0.25">
      <c r="B92" s="144"/>
      <c r="C92" s="144"/>
      <c r="D92" s="141" t="str">
        <f>IF(DISEÑO!G128="","",DISEÑO!F128)</f>
        <v/>
      </c>
      <c r="E92" s="138" t="str">
        <f>IF(DISEÑO!G56="","",DISEÑO!G56)</f>
        <v/>
      </c>
      <c r="F92" s="138" t="str">
        <f>IF(DISEÑO!H128="","",DISEÑO!H128)</f>
        <v/>
      </c>
      <c r="G92" s="138" t="str">
        <f>IF('DISEÑO POR SISMO'!K72="","",'DISEÑO POR SISMO'!K72)</f>
        <v/>
      </c>
    </row>
    <row r="93" spans="1:11" x14ac:dyDescent="0.25">
      <c r="B93" s="144"/>
      <c r="C93" s="144"/>
      <c r="D93" s="141" t="str">
        <f>IF(DISEÑO!G129="","",DISEÑO!F129)</f>
        <v/>
      </c>
      <c r="E93" s="138" t="str">
        <f>IF(DISEÑO!G57="","",DISEÑO!G57)</f>
        <v/>
      </c>
      <c r="F93" s="138" t="str">
        <f>IF(DISEÑO!H129="","",DISEÑO!H129)</f>
        <v/>
      </c>
      <c r="G93" s="138" t="str">
        <f>IF('DISEÑO POR SISMO'!K73="","",'DISEÑO POR SISMO'!K73)</f>
        <v/>
      </c>
    </row>
    <row r="94" spans="1:11" x14ac:dyDescent="0.25">
      <c r="B94" s="144"/>
      <c r="C94" s="144"/>
      <c r="D94" s="141" t="str">
        <f>IF(DISEÑO!G130="","",DISEÑO!F130)</f>
        <v/>
      </c>
      <c r="E94" s="138" t="str">
        <f>IF(DISEÑO!G58="","",DISEÑO!G58)</f>
        <v/>
      </c>
      <c r="F94" s="138" t="str">
        <f>IF(DISEÑO!H130="","",DISEÑO!H130)</f>
        <v/>
      </c>
      <c r="G94" s="138" t="str">
        <f>IF('DISEÑO POR SISMO'!K74="","",'DISEÑO POR SISMO'!K74)</f>
        <v/>
      </c>
    </row>
    <row r="95" spans="1:11" x14ac:dyDescent="0.25">
      <c r="B95" s="144"/>
      <c r="C95" s="144"/>
      <c r="D95" s="134" t="str">
        <f>IF(DISEÑO!L101="","",DISEÑO!K101)</f>
        <v/>
      </c>
      <c r="E95" s="135" t="str">
        <f>IF(DISEÑO!L29="","",DISEÑO!L29)</f>
        <v/>
      </c>
      <c r="F95" s="135" t="str">
        <f>IF(DISEÑO!M101="","",DISEÑO!M101)</f>
        <v/>
      </c>
      <c r="G95" s="135" t="str">
        <f>IF('DISEÑO POR SISMO'!Q45="","",'DISEÑO POR SISMO'!Q45)</f>
        <v/>
      </c>
    </row>
    <row r="96" spans="1:11" x14ac:dyDescent="0.25">
      <c r="B96" s="144"/>
      <c r="C96" s="144"/>
      <c r="D96" s="134" t="str">
        <f>IF(DISEÑO!L102="","",DISEÑO!K102)</f>
        <v/>
      </c>
      <c r="E96" s="135" t="str">
        <f>IF(DISEÑO!L30="","",DISEÑO!L30)</f>
        <v/>
      </c>
      <c r="F96" s="135" t="str">
        <f>IF(DISEÑO!M102="","",DISEÑO!M102)</f>
        <v/>
      </c>
      <c r="G96" s="135" t="str">
        <f>IF('DISEÑO POR SISMO'!Q46="","",'DISEÑO POR SISMO'!Q46)</f>
        <v/>
      </c>
    </row>
    <row r="97" spans="2:7" x14ac:dyDescent="0.25">
      <c r="B97" s="144"/>
      <c r="C97" s="144"/>
      <c r="D97" s="134" t="str">
        <f>IF(DISEÑO!L103="","",DISEÑO!K103)</f>
        <v/>
      </c>
      <c r="E97" s="135" t="str">
        <f>IF(DISEÑO!L31="","",DISEÑO!L31)</f>
        <v/>
      </c>
      <c r="F97" s="135" t="str">
        <f>IF(DISEÑO!M103="","",DISEÑO!M103)</f>
        <v/>
      </c>
      <c r="G97" s="135" t="str">
        <f>IF('DISEÑO POR SISMO'!Q47="","",'DISEÑO POR SISMO'!Q47)</f>
        <v/>
      </c>
    </row>
    <row r="98" spans="2:7" x14ac:dyDescent="0.25">
      <c r="B98" s="144"/>
      <c r="C98" s="144"/>
      <c r="D98" s="134" t="str">
        <f>IF(DISEÑO!L104="","",DISEÑO!K104)</f>
        <v/>
      </c>
      <c r="E98" s="135" t="str">
        <f>IF(DISEÑO!L32="","",DISEÑO!L32)</f>
        <v/>
      </c>
      <c r="F98" s="135" t="str">
        <f>IF(DISEÑO!M104="","",DISEÑO!M104)</f>
        <v/>
      </c>
      <c r="G98" s="135" t="str">
        <f>IF('DISEÑO POR SISMO'!Q48="","",'DISEÑO POR SISMO'!Q48)</f>
        <v/>
      </c>
    </row>
    <row r="99" spans="2:7" x14ac:dyDescent="0.25">
      <c r="B99" s="144"/>
      <c r="C99" s="144"/>
      <c r="D99" s="134" t="str">
        <f>IF(DISEÑO!L105="","",DISEÑO!K105)</f>
        <v/>
      </c>
      <c r="E99" s="135" t="str">
        <f>IF(DISEÑO!L33="","",DISEÑO!L33)</f>
        <v/>
      </c>
      <c r="F99" s="135" t="str">
        <f>IF(DISEÑO!M105="","",DISEÑO!M105)</f>
        <v/>
      </c>
      <c r="G99" s="135" t="str">
        <f>IF('DISEÑO POR SISMO'!Q49="","",'DISEÑO POR SISMO'!Q49)</f>
        <v/>
      </c>
    </row>
    <row r="100" spans="2:7" x14ac:dyDescent="0.25">
      <c r="B100" s="144"/>
      <c r="C100" s="144"/>
      <c r="D100" s="134" t="str">
        <f>IF(DISEÑO!L106="","",DISEÑO!K106)</f>
        <v/>
      </c>
      <c r="E100" s="135" t="str">
        <f>IF(DISEÑO!L34="","",DISEÑO!L34)</f>
        <v/>
      </c>
      <c r="F100" s="135" t="str">
        <f>IF(DISEÑO!M106="","",DISEÑO!M106)</f>
        <v/>
      </c>
      <c r="G100" s="135" t="str">
        <f>IF('DISEÑO POR SISMO'!Q50="","",'DISEÑO POR SISMO'!Q50)</f>
        <v/>
      </c>
    </row>
    <row r="101" spans="2:7" x14ac:dyDescent="0.25">
      <c r="B101" s="144"/>
      <c r="C101" s="144"/>
      <c r="D101" s="134" t="str">
        <f>IF(DISEÑO!L107="","",DISEÑO!K107)</f>
        <v/>
      </c>
      <c r="E101" s="135" t="str">
        <f>IF(DISEÑO!L35="","",DISEÑO!L35)</f>
        <v/>
      </c>
      <c r="F101" s="135" t="str">
        <f>IF(DISEÑO!M107="","",DISEÑO!M107)</f>
        <v/>
      </c>
      <c r="G101" s="135" t="str">
        <f>IF('DISEÑO POR SISMO'!Q51="","",'DISEÑO POR SISMO'!Q51)</f>
        <v/>
      </c>
    </row>
    <row r="102" spans="2:7" x14ac:dyDescent="0.25">
      <c r="B102" s="144"/>
      <c r="C102" s="144"/>
      <c r="D102" s="134" t="str">
        <f>IF(DISEÑO!L108="","",DISEÑO!K108)</f>
        <v/>
      </c>
      <c r="E102" s="135" t="str">
        <f>IF(DISEÑO!L36="","",DISEÑO!L36)</f>
        <v/>
      </c>
      <c r="F102" s="135" t="str">
        <f>IF(DISEÑO!M108="","",DISEÑO!M108)</f>
        <v/>
      </c>
      <c r="G102" s="135" t="str">
        <f>IF('DISEÑO POR SISMO'!Q52="","",'DISEÑO POR SISMO'!Q52)</f>
        <v/>
      </c>
    </row>
    <row r="103" spans="2:7" x14ac:dyDescent="0.25">
      <c r="B103" s="144"/>
      <c r="C103" s="144"/>
      <c r="D103" s="134" t="str">
        <f>IF(DISEÑO!L109="","",DISEÑO!K109)</f>
        <v/>
      </c>
      <c r="E103" s="135" t="str">
        <f>IF(DISEÑO!L37="","",DISEÑO!L37)</f>
        <v/>
      </c>
      <c r="F103" s="135" t="str">
        <f>IF(DISEÑO!M109="","",DISEÑO!M109)</f>
        <v/>
      </c>
      <c r="G103" s="135" t="str">
        <f>IF('DISEÑO POR SISMO'!Q53="","",'DISEÑO POR SISMO'!Q53)</f>
        <v/>
      </c>
    </row>
    <row r="104" spans="2:7" x14ac:dyDescent="0.25">
      <c r="B104" s="144"/>
      <c r="C104" s="144"/>
      <c r="D104" s="134" t="str">
        <f>IF(DISEÑO!L110="","",DISEÑO!K110)</f>
        <v/>
      </c>
      <c r="E104" s="135" t="str">
        <f>IF(DISEÑO!L38="","",DISEÑO!L38)</f>
        <v/>
      </c>
      <c r="F104" s="135" t="str">
        <f>IF(DISEÑO!M110="","",DISEÑO!M110)</f>
        <v/>
      </c>
      <c r="G104" s="135" t="str">
        <f>IF('DISEÑO POR SISMO'!Q54="","",'DISEÑO POR SISMO'!Q54)</f>
        <v/>
      </c>
    </row>
    <row r="105" spans="2:7" x14ac:dyDescent="0.25">
      <c r="B105" s="144"/>
      <c r="C105" s="144"/>
      <c r="D105" s="134" t="str">
        <f>IF(DISEÑO!L111="","",DISEÑO!K111)</f>
        <v/>
      </c>
      <c r="E105" s="135" t="str">
        <f>IF(DISEÑO!L39="","",DISEÑO!L39)</f>
        <v/>
      </c>
      <c r="F105" s="135" t="str">
        <f>IF(DISEÑO!M111="","",DISEÑO!M111)</f>
        <v/>
      </c>
      <c r="G105" s="135" t="str">
        <f>IF('DISEÑO POR SISMO'!Q55="","",'DISEÑO POR SISMO'!Q55)</f>
        <v/>
      </c>
    </row>
    <row r="106" spans="2:7" x14ac:dyDescent="0.25">
      <c r="B106" s="144"/>
      <c r="C106" s="144"/>
      <c r="D106" s="134" t="str">
        <f>IF(DISEÑO!L112="","",DISEÑO!K112)</f>
        <v/>
      </c>
      <c r="E106" s="135" t="str">
        <f>IF(DISEÑO!L40="","",DISEÑO!L40)</f>
        <v/>
      </c>
      <c r="F106" s="135" t="str">
        <f>IF(DISEÑO!M112="","",DISEÑO!M112)</f>
        <v/>
      </c>
      <c r="G106" s="135" t="str">
        <f>IF('DISEÑO POR SISMO'!Q56="","",'DISEÑO POR SISMO'!Q56)</f>
        <v/>
      </c>
    </row>
    <row r="107" spans="2:7" x14ac:dyDescent="0.25">
      <c r="B107" s="144"/>
      <c r="C107" s="144"/>
      <c r="D107" s="134" t="str">
        <f>IF(DISEÑO!L113="","",DISEÑO!K113)</f>
        <v/>
      </c>
      <c r="E107" s="135" t="str">
        <f>IF(DISEÑO!L41="","",DISEÑO!L41)</f>
        <v/>
      </c>
      <c r="F107" s="135" t="str">
        <f>IF(DISEÑO!M113="","",DISEÑO!M113)</f>
        <v/>
      </c>
      <c r="G107" s="135" t="str">
        <f>IF('DISEÑO POR SISMO'!Q57="","",'DISEÑO POR SISMO'!Q57)</f>
        <v/>
      </c>
    </row>
    <row r="108" spans="2:7" x14ac:dyDescent="0.25">
      <c r="B108" s="144"/>
      <c r="C108" s="144"/>
      <c r="D108" s="134" t="str">
        <f>IF(DISEÑO!L114="","",DISEÑO!K114)</f>
        <v/>
      </c>
      <c r="E108" s="135" t="str">
        <f>IF(DISEÑO!L42="","",DISEÑO!L42)</f>
        <v/>
      </c>
      <c r="F108" s="135" t="str">
        <f>IF(DISEÑO!M114="","",DISEÑO!M114)</f>
        <v/>
      </c>
      <c r="G108" s="135" t="str">
        <f>IF('DISEÑO POR SISMO'!Q58="","",'DISEÑO POR SISMO'!Q58)</f>
        <v/>
      </c>
    </row>
    <row r="109" spans="2:7" x14ac:dyDescent="0.25">
      <c r="B109" s="144"/>
      <c r="C109" s="144"/>
      <c r="D109" s="134" t="str">
        <f>IF(DISEÑO!L115="","",DISEÑO!K115)</f>
        <v/>
      </c>
      <c r="E109" s="135" t="str">
        <f>IF(DISEÑO!L43="","",DISEÑO!L43)</f>
        <v/>
      </c>
      <c r="F109" s="135" t="str">
        <f>IF(DISEÑO!M115="","",DISEÑO!M115)</f>
        <v/>
      </c>
      <c r="G109" s="135" t="str">
        <f>IF('DISEÑO POR SISMO'!Q59="","",'DISEÑO POR SISMO'!Q59)</f>
        <v/>
      </c>
    </row>
    <row r="110" spans="2:7" x14ac:dyDescent="0.25">
      <c r="B110" s="144"/>
      <c r="C110" s="144"/>
      <c r="D110" s="134" t="str">
        <f>IF(DISEÑO!L116="","",DISEÑO!K116)</f>
        <v/>
      </c>
      <c r="E110" s="135" t="str">
        <f>IF(DISEÑO!L44="","",DISEÑO!L44)</f>
        <v/>
      </c>
      <c r="F110" s="135" t="str">
        <f>IF(DISEÑO!M116="","",DISEÑO!M116)</f>
        <v/>
      </c>
      <c r="G110" s="135" t="str">
        <f>IF('DISEÑO POR SISMO'!Q60="","",'DISEÑO POR SISMO'!Q60)</f>
        <v/>
      </c>
    </row>
    <row r="111" spans="2:7" x14ac:dyDescent="0.25">
      <c r="B111" s="144"/>
      <c r="C111" s="144"/>
      <c r="D111" s="134" t="str">
        <f>IF(DISEÑO!L117="","",DISEÑO!K117)</f>
        <v/>
      </c>
      <c r="E111" s="135" t="str">
        <f>IF(DISEÑO!L45="","",DISEÑO!L45)</f>
        <v/>
      </c>
      <c r="F111" s="135" t="str">
        <f>IF(DISEÑO!M117="","",DISEÑO!M117)</f>
        <v/>
      </c>
      <c r="G111" s="135" t="str">
        <f>IF('DISEÑO POR SISMO'!Q61="","",'DISEÑO POR SISMO'!Q61)</f>
        <v/>
      </c>
    </row>
    <row r="112" spans="2:7" x14ac:dyDescent="0.25">
      <c r="B112" s="144"/>
      <c r="C112" s="144"/>
      <c r="D112" s="134" t="str">
        <f>IF(DISEÑO!L118="","",DISEÑO!K118)</f>
        <v/>
      </c>
      <c r="E112" s="135" t="str">
        <f>IF(DISEÑO!L46="","",DISEÑO!L46)</f>
        <v/>
      </c>
      <c r="F112" s="135" t="str">
        <f>IF(DISEÑO!M118="","",DISEÑO!M118)</f>
        <v/>
      </c>
      <c r="G112" s="135" t="str">
        <f>IF('DISEÑO POR SISMO'!Q62="","",'DISEÑO POR SISMO'!Q62)</f>
        <v/>
      </c>
    </row>
    <row r="113" spans="2:8" x14ac:dyDescent="0.25">
      <c r="B113" s="144"/>
      <c r="C113" s="144"/>
      <c r="D113" s="134" t="str">
        <f>IF(DISEÑO!L119="","",DISEÑO!K119)</f>
        <v/>
      </c>
      <c r="E113" s="135" t="str">
        <f>IF(DISEÑO!L47="","",DISEÑO!L47)</f>
        <v/>
      </c>
      <c r="F113" s="135" t="str">
        <f>IF(DISEÑO!M119="","",DISEÑO!M119)</f>
        <v/>
      </c>
      <c r="G113" s="135" t="str">
        <f>IF('DISEÑO POR SISMO'!Q63="","",'DISEÑO POR SISMO'!Q63)</f>
        <v/>
      </c>
    </row>
    <row r="114" spans="2:8" x14ac:dyDescent="0.25">
      <c r="B114" s="144"/>
      <c r="C114" s="144"/>
      <c r="D114" s="134" t="str">
        <f>IF(DISEÑO!L120="","",DISEÑO!K120)</f>
        <v/>
      </c>
      <c r="E114" s="135" t="str">
        <f>IF(DISEÑO!L48="","",DISEÑO!L48)</f>
        <v/>
      </c>
      <c r="F114" s="135" t="str">
        <f>IF(DISEÑO!M120="","",DISEÑO!M120)</f>
        <v/>
      </c>
      <c r="G114" s="135" t="str">
        <f>IF('DISEÑO POR SISMO'!Q64="","",'DISEÑO POR SISMO'!Q64)</f>
        <v/>
      </c>
    </row>
    <row r="115" spans="2:8" x14ac:dyDescent="0.25">
      <c r="B115" s="144"/>
      <c r="C115" s="144"/>
      <c r="D115" s="134" t="str">
        <f>IF(DISEÑO!L121="","",DISEÑO!K121)</f>
        <v/>
      </c>
      <c r="E115" s="135" t="str">
        <f>IF(DISEÑO!L49="","",DISEÑO!L49)</f>
        <v/>
      </c>
      <c r="F115" s="135" t="str">
        <f>IF(DISEÑO!M121="","",DISEÑO!M121)</f>
        <v/>
      </c>
      <c r="G115" s="135" t="str">
        <f>IF('DISEÑO POR SISMO'!Q65="","",'DISEÑO POR SISMO'!Q65)</f>
        <v/>
      </c>
    </row>
    <row r="116" spans="2:8" x14ac:dyDescent="0.25">
      <c r="B116" s="144"/>
      <c r="C116" s="144"/>
      <c r="D116" s="134" t="str">
        <f>IF(DISEÑO!L122="","",DISEÑO!K122)</f>
        <v/>
      </c>
      <c r="E116" s="135" t="str">
        <f>IF(DISEÑO!L50="","",DISEÑO!L50)</f>
        <v/>
      </c>
      <c r="F116" s="135" t="str">
        <f>IF(DISEÑO!M122="","",DISEÑO!M122)</f>
        <v/>
      </c>
      <c r="G116" s="135" t="str">
        <f>IF('DISEÑO POR SISMO'!Q66="","",'DISEÑO POR SISMO'!Q66)</f>
        <v/>
      </c>
    </row>
    <row r="117" spans="2:8" x14ac:dyDescent="0.25">
      <c r="B117" s="144"/>
      <c r="C117" s="144"/>
      <c r="D117" s="134" t="str">
        <f>IF(DISEÑO!L123="","",DISEÑO!K123)</f>
        <v/>
      </c>
      <c r="E117" s="135" t="str">
        <f>IF(DISEÑO!L51="","",DISEÑO!L51)</f>
        <v/>
      </c>
      <c r="F117" s="135" t="str">
        <f>IF(DISEÑO!M123="","",DISEÑO!M123)</f>
        <v/>
      </c>
      <c r="G117" s="135" t="str">
        <f>IF('DISEÑO POR SISMO'!Q67="","",'DISEÑO POR SISMO'!Q67)</f>
        <v/>
      </c>
    </row>
    <row r="118" spans="2:8" x14ac:dyDescent="0.25">
      <c r="B118" s="144"/>
      <c r="C118" s="144"/>
      <c r="D118" s="134" t="str">
        <f>IF(DISEÑO!L124="","",DISEÑO!K124)</f>
        <v/>
      </c>
      <c r="E118" s="135" t="str">
        <f>IF(DISEÑO!L52="","",DISEÑO!L52)</f>
        <v/>
      </c>
      <c r="F118" s="135" t="str">
        <f>IF(DISEÑO!M124="","",DISEÑO!M124)</f>
        <v/>
      </c>
      <c r="G118" s="135" t="str">
        <f>IF('DISEÑO POR SISMO'!Q68="","",'DISEÑO POR SISMO'!Q68)</f>
        <v/>
      </c>
    </row>
    <row r="119" spans="2:8" x14ac:dyDescent="0.25">
      <c r="B119" s="144"/>
      <c r="C119" s="144"/>
      <c r="D119" s="134" t="str">
        <f>IF(DISEÑO!L125="","",DISEÑO!K125)</f>
        <v/>
      </c>
      <c r="E119" s="135" t="str">
        <f>IF(DISEÑO!L53="","",DISEÑO!L53)</f>
        <v/>
      </c>
      <c r="F119" s="135" t="str">
        <f>IF(DISEÑO!M125="","",DISEÑO!M125)</f>
        <v/>
      </c>
      <c r="G119" s="135" t="str">
        <f>IF('DISEÑO POR SISMO'!Q69="","",'DISEÑO POR SISMO'!Q69)</f>
        <v/>
      </c>
    </row>
    <row r="120" spans="2:8" x14ac:dyDescent="0.25">
      <c r="B120" s="144"/>
      <c r="C120" s="144"/>
      <c r="D120" s="134" t="str">
        <f>IF(DISEÑO!L126="","",DISEÑO!K126)</f>
        <v/>
      </c>
      <c r="E120" s="135" t="str">
        <f>IF(DISEÑO!L54="","",DISEÑO!L54)</f>
        <v/>
      </c>
      <c r="F120" s="135" t="str">
        <f>IF(DISEÑO!M126="","",DISEÑO!M126)</f>
        <v/>
      </c>
      <c r="G120" s="135" t="str">
        <f>IF('DISEÑO POR SISMO'!Q70="","",'DISEÑO POR SISMO'!Q70)</f>
        <v/>
      </c>
    </row>
    <row r="121" spans="2:8" x14ac:dyDescent="0.25">
      <c r="B121" s="144"/>
      <c r="C121" s="144"/>
      <c r="D121" s="134" t="str">
        <f>IF(DISEÑO!L127="","",DISEÑO!K127)</f>
        <v/>
      </c>
      <c r="E121" s="135" t="str">
        <f>IF(DISEÑO!L55="","",DISEÑO!L55)</f>
        <v/>
      </c>
      <c r="F121" s="135" t="str">
        <f>IF(DISEÑO!M127="","",DISEÑO!M127)</f>
        <v/>
      </c>
      <c r="G121" s="135" t="str">
        <f>IF('DISEÑO POR SISMO'!Q71="","",'DISEÑO POR SISMO'!Q71)</f>
        <v/>
      </c>
    </row>
    <row r="122" spans="2:8" x14ac:dyDescent="0.25">
      <c r="B122" s="144"/>
      <c r="C122" s="144"/>
      <c r="D122" s="134" t="str">
        <f>IF(DISEÑO!L128="","",DISEÑO!K128)</f>
        <v/>
      </c>
      <c r="E122" s="135" t="str">
        <f>IF(DISEÑO!L56="","",DISEÑO!L56)</f>
        <v/>
      </c>
      <c r="F122" s="135" t="str">
        <f>IF(DISEÑO!M128="","",DISEÑO!M128)</f>
        <v/>
      </c>
      <c r="G122" s="135" t="str">
        <f>IF('DISEÑO POR SISMO'!Q72="","",'DISEÑO POR SISMO'!Q72)</f>
        <v/>
      </c>
    </row>
    <row r="123" spans="2:8" x14ac:dyDescent="0.25">
      <c r="B123" s="144"/>
      <c r="C123" s="144"/>
      <c r="D123" s="134" t="str">
        <f>IF(DISEÑO!L129="","",DISEÑO!K129)</f>
        <v/>
      </c>
      <c r="E123" s="135" t="str">
        <f>IF(DISEÑO!L57="","",DISEÑO!L57)</f>
        <v/>
      </c>
      <c r="F123" s="135" t="str">
        <f>IF(DISEÑO!M129="","",DISEÑO!M129)</f>
        <v/>
      </c>
      <c r="G123" s="135" t="str">
        <f>IF('DISEÑO POR SISMO'!Q73="","",'DISEÑO POR SISMO'!Q73)</f>
        <v/>
      </c>
    </row>
    <row r="124" spans="2:8" x14ac:dyDescent="0.25">
      <c r="B124" s="144"/>
      <c r="C124" s="144"/>
      <c r="D124" s="134" t="str">
        <f>IF(DISEÑO!L130="","",DISEÑO!K130)</f>
        <v/>
      </c>
      <c r="E124" s="135" t="str">
        <f>IF(DISEÑO!L58="","",DISEÑO!L58)</f>
        <v/>
      </c>
      <c r="F124" s="135" t="str">
        <f>IF(DISEÑO!M130="","",DISEÑO!M130)</f>
        <v/>
      </c>
      <c r="G124" s="135" t="str">
        <f>IF('DISEÑO POR SISMO'!Q74="","",'DISEÑO POR SISMO'!Q74)</f>
        <v/>
      </c>
    </row>
    <row r="125" spans="2:8" x14ac:dyDescent="0.25">
      <c r="B125" s="144"/>
      <c r="C125" s="144"/>
      <c r="D125" s="134"/>
      <c r="E125" s="134"/>
      <c r="F125" s="134"/>
      <c r="G125" s="134"/>
    </row>
    <row r="126" spans="2:8" x14ac:dyDescent="0.25">
      <c r="B126" s="144"/>
      <c r="C126" s="144"/>
      <c r="D126" s="134"/>
      <c r="E126" s="134"/>
      <c r="F126" s="134"/>
      <c r="G126" s="134"/>
    </row>
    <row r="127" spans="2:8" x14ac:dyDescent="0.25">
      <c r="B127" s="144"/>
      <c r="C127" s="144"/>
      <c r="E127" s="134"/>
      <c r="F127" s="134"/>
      <c r="G127" s="134"/>
      <c r="H127" s="135" t="str">
        <f>IF('DISEÑO POR SISMO'!Q71="","",'DISEÑO POR SISMO'!Q71)</f>
        <v/>
      </c>
    </row>
    <row r="128" spans="2:8" x14ac:dyDescent="0.25">
      <c r="B128" s="144"/>
      <c r="C128" s="144"/>
      <c r="E128" s="134"/>
      <c r="F128" s="134"/>
      <c r="G128" s="134"/>
      <c r="H128" s="135" t="str">
        <f>IF('DISEÑO POR SISMO'!Q72="","",'DISEÑO POR SISMO'!Q72)</f>
        <v/>
      </c>
    </row>
    <row r="129" spans="2:8" x14ac:dyDescent="0.25">
      <c r="B129" s="144"/>
      <c r="C129" s="144"/>
      <c r="E129" s="134"/>
      <c r="F129" s="134"/>
      <c r="G129" s="134"/>
      <c r="H129" s="135" t="str">
        <f>IF('DISEÑO POR SISMO'!Q73="","",'DISEÑO POR SISMO'!Q73)</f>
        <v/>
      </c>
    </row>
    <row r="130" spans="2:8" x14ac:dyDescent="0.25">
      <c r="E130" s="134"/>
      <c r="F130" s="134"/>
      <c r="G130" s="134"/>
      <c r="H130" s="135" t="str">
        <f>IF('DISEÑO POR SISMO'!Q74="","",'DISEÑO POR SISMO'!Q74)</f>
        <v/>
      </c>
    </row>
    <row r="131" spans="2:8" x14ac:dyDescent="0.25">
      <c r="E131" s="134"/>
      <c r="F131" s="134"/>
      <c r="G131" s="134"/>
      <c r="H131" s="134"/>
    </row>
    <row r="132" spans="2:8" x14ac:dyDescent="0.25">
      <c r="E132" s="134"/>
      <c r="F132" s="134"/>
      <c r="G132" s="134"/>
      <c r="H132" s="134"/>
    </row>
    <row r="133" spans="2:8" x14ac:dyDescent="0.25">
      <c r="E133" s="134"/>
      <c r="F133" s="134"/>
      <c r="G133" s="134"/>
      <c r="H133" s="134"/>
    </row>
    <row r="134" spans="2:8" x14ac:dyDescent="0.25">
      <c r="E134" s="134"/>
      <c r="F134" s="134"/>
      <c r="G134" s="134"/>
      <c r="H134" s="134"/>
    </row>
    <row r="135" spans="2:8" x14ac:dyDescent="0.25">
      <c r="E135" s="134"/>
      <c r="F135" s="134"/>
      <c r="G135" s="134"/>
      <c r="H135" s="134"/>
    </row>
    <row r="136" spans="2:8" x14ac:dyDescent="0.25">
      <c r="E136" s="134"/>
      <c r="F136" s="134"/>
      <c r="G136" s="134"/>
      <c r="H136" s="134"/>
    </row>
    <row r="137" spans="2:8" x14ac:dyDescent="0.25">
      <c r="E137" s="134"/>
      <c r="F137" s="134"/>
      <c r="G137" s="134"/>
      <c r="H137" s="134"/>
    </row>
    <row r="138" spans="2:8" x14ac:dyDescent="0.25">
      <c r="E138" s="134"/>
      <c r="F138" s="134"/>
      <c r="G138" s="134"/>
      <c r="H138" s="134"/>
    </row>
    <row r="139" spans="2:8" x14ac:dyDescent="0.25">
      <c r="E139" s="134"/>
      <c r="F139" s="134"/>
      <c r="G139" s="134"/>
      <c r="H139" s="134"/>
    </row>
    <row r="140" spans="2:8" x14ac:dyDescent="0.25">
      <c r="E140" s="134"/>
      <c r="F140" s="134"/>
      <c r="G140" s="134"/>
      <c r="H140" s="134"/>
    </row>
    <row r="141" spans="2:8" x14ac:dyDescent="0.25">
      <c r="E141" s="134"/>
      <c r="F141" s="134"/>
      <c r="G141" s="134"/>
      <c r="H141" s="134"/>
    </row>
    <row r="142" spans="2:8" x14ac:dyDescent="0.25">
      <c r="E142" s="134"/>
      <c r="F142" s="134"/>
      <c r="G142" s="134"/>
      <c r="H142" s="134"/>
    </row>
    <row r="143" spans="2:8" x14ac:dyDescent="0.25">
      <c r="E143" s="134"/>
      <c r="F143" s="134"/>
      <c r="G143" s="134"/>
      <c r="H143" s="134"/>
    </row>
    <row r="144" spans="2:8" x14ac:dyDescent="0.25">
      <c r="E144" s="134"/>
      <c r="F144" s="134"/>
      <c r="G144" s="134"/>
      <c r="H144" s="134"/>
    </row>
    <row r="145" spans="5:8" x14ac:dyDescent="0.25">
      <c r="E145" s="134"/>
      <c r="F145" s="134"/>
      <c r="G145" s="134"/>
      <c r="H145" s="134"/>
    </row>
    <row r="146" spans="5:8" x14ac:dyDescent="0.25">
      <c r="E146" s="134"/>
      <c r="F146" s="134"/>
      <c r="G146" s="134"/>
      <c r="H146" s="134"/>
    </row>
    <row r="147" spans="5:8" x14ac:dyDescent="0.25">
      <c r="E147" s="134"/>
      <c r="F147" s="134"/>
      <c r="G147" s="134"/>
      <c r="H147" s="134"/>
    </row>
    <row r="148" spans="5:8" x14ac:dyDescent="0.25">
      <c r="E148" s="134"/>
      <c r="F148" s="134"/>
      <c r="G148" s="134"/>
      <c r="H148" s="134"/>
    </row>
    <row r="149" spans="5:8" x14ac:dyDescent="0.25">
      <c r="E149" s="134"/>
      <c r="F149" s="134"/>
      <c r="G149" s="134"/>
      <c r="H149" s="134"/>
    </row>
    <row r="150" spans="5:8" x14ac:dyDescent="0.25">
      <c r="E150" s="134"/>
      <c r="F150" s="134"/>
      <c r="G150" s="134"/>
      <c r="H150" s="134"/>
    </row>
    <row r="151" spans="5:8" x14ac:dyDescent="0.25">
      <c r="E151" s="134"/>
      <c r="F151" s="134"/>
      <c r="G151" s="134"/>
      <c r="H151" s="134"/>
    </row>
    <row r="152" spans="5:8" x14ac:dyDescent="0.25">
      <c r="E152" s="134"/>
      <c r="F152" s="134"/>
      <c r="G152" s="134"/>
      <c r="H152" s="134"/>
    </row>
    <row r="153" spans="5:8" x14ac:dyDescent="0.25">
      <c r="E153" s="134"/>
      <c r="F153" s="134"/>
      <c r="G153" s="134"/>
      <c r="H153" s="134"/>
    </row>
    <row r="154" spans="5:8" x14ac:dyDescent="0.25">
      <c r="E154" s="134"/>
      <c r="F154" s="134"/>
      <c r="G154" s="134"/>
      <c r="H154" s="134"/>
    </row>
    <row r="155" spans="5:8" x14ac:dyDescent="0.25">
      <c r="E155" s="134"/>
      <c r="F155" s="134"/>
      <c r="G155" s="134"/>
      <c r="H155" s="134"/>
    </row>
    <row r="156" spans="5:8" x14ac:dyDescent="0.25">
      <c r="E156" s="134"/>
      <c r="F156" s="134"/>
      <c r="G156" s="134"/>
      <c r="H156" s="134"/>
    </row>
    <row r="157" spans="5:8" x14ac:dyDescent="0.25">
      <c r="E157" s="134"/>
      <c r="F157" s="134"/>
      <c r="G157" s="134"/>
      <c r="H157" s="134"/>
    </row>
    <row r="158" spans="5:8" x14ac:dyDescent="0.25">
      <c r="E158" s="134"/>
      <c r="F158" s="134"/>
      <c r="G158" s="134"/>
      <c r="H158" s="134"/>
    </row>
    <row r="159" spans="5:8" x14ac:dyDescent="0.25">
      <c r="E159" s="134"/>
      <c r="F159" s="134"/>
      <c r="G159" s="134"/>
      <c r="H159" s="134"/>
    </row>
    <row r="160" spans="5:8" x14ac:dyDescent="0.25">
      <c r="E160" s="134"/>
      <c r="F160" s="134"/>
      <c r="G160" s="134"/>
      <c r="H160" s="134"/>
    </row>
    <row r="161" spans="5:8" x14ac:dyDescent="0.25">
      <c r="E161" s="134"/>
      <c r="F161" s="134"/>
      <c r="G161" s="134"/>
      <c r="H161" s="134"/>
    </row>
    <row r="162" spans="5:8" x14ac:dyDescent="0.25">
      <c r="E162" s="134"/>
      <c r="F162" s="134"/>
      <c r="G162" s="134"/>
      <c r="H162" s="134"/>
    </row>
    <row r="163" spans="5:8" x14ac:dyDescent="0.25">
      <c r="E163" s="134"/>
      <c r="F163" s="134"/>
      <c r="G163" s="134"/>
      <c r="H163" s="134"/>
    </row>
    <row r="164" spans="5:8" x14ac:dyDescent="0.25">
      <c r="E164" s="134"/>
      <c r="F164" s="134"/>
      <c r="G164" s="134"/>
      <c r="H164" s="134"/>
    </row>
    <row r="165" spans="5:8" x14ac:dyDescent="0.25">
      <c r="E165" s="134"/>
      <c r="F165" s="134"/>
      <c r="G165" s="134"/>
      <c r="H165" s="134"/>
    </row>
    <row r="166" spans="5:8" x14ac:dyDescent="0.25">
      <c r="E166" s="134"/>
      <c r="F166" s="134"/>
      <c r="G166" s="134"/>
      <c r="H166" s="134"/>
    </row>
    <row r="167" spans="5:8" x14ac:dyDescent="0.25">
      <c r="E167" s="134"/>
      <c r="F167" s="134"/>
      <c r="G167" s="134"/>
      <c r="H167" s="134"/>
    </row>
    <row r="168" spans="5:8" x14ac:dyDescent="0.25">
      <c r="E168" s="134"/>
      <c r="F168" s="134"/>
      <c r="G168" s="134"/>
      <c r="H168" s="134"/>
    </row>
    <row r="169" spans="5:8" x14ac:dyDescent="0.25">
      <c r="E169" s="134"/>
      <c r="F169" s="134"/>
      <c r="G169" s="134"/>
      <c r="H169" s="134"/>
    </row>
    <row r="170" spans="5:8" x14ac:dyDescent="0.25">
      <c r="E170" s="134"/>
      <c r="F170" s="134"/>
      <c r="G170" s="134"/>
      <c r="H170" s="134"/>
    </row>
    <row r="171" spans="5:8" x14ac:dyDescent="0.25">
      <c r="E171" s="134"/>
      <c r="F171" s="134"/>
      <c r="G171" s="134"/>
      <c r="H171" s="134"/>
    </row>
    <row r="172" spans="5:8" x14ac:dyDescent="0.25">
      <c r="E172" s="134"/>
      <c r="F172" s="134"/>
      <c r="G172" s="134"/>
      <c r="H172" s="134"/>
    </row>
    <row r="173" spans="5:8" x14ac:dyDescent="0.25">
      <c r="E173" s="134"/>
      <c r="F173" s="134"/>
      <c r="G173" s="134"/>
      <c r="H173" s="134"/>
    </row>
    <row r="174" spans="5:8" x14ac:dyDescent="0.25">
      <c r="E174" s="134"/>
      <c r="F174" s="134"/>
      <c r="G174" s="134"/>
      <c r="H174" s="134"/>
    </row>
    <row r="175" spans="5:8" x14ac:dyDescent="0.25">
      <c r="E175" s="134"/>
      <c r="F175" s="134"/>
      <c r="G175" s="134"/>
      <c r="H175" s="134"/>
    </row>
    <row r="176" spans="5:8" x14ac:dyDescent="0.25">
      <c r="E176" s="134"/>
      <c r="F176" s="134"/>
      <c r="G176" s="134"/>
      <c r="H176" s="134"/>
    </row>
    <row r="177" spans="5:8" x14ac:dyDescent="0.25">
      <c r="E177" s="134"/>
      <c r="F177" s="134"/>
      <c r="G177" s="134"/>
      <c r="H177" s="134"/>
    </row>
    <row r="178" spans="5:8" x14ac:dyDescent="0.25">
      <c r="E178" s="134"/>
      <c r="F178" s="134"/>
      <c r="G178" s="134"/>
      <c r="H178" s="134"/>
    </row>
    <row r="179" spans="5:8" x14ac:dyDescent="0.25">
      <c r="E179" s="134"/>
      <c r="F179" s="134"/>
      <c r="G179" s="134"/>
      <c r="H179" s="134"/>
    </row>
    <row r="180" spans="5:8" x14ac:dyDescent="0.25">
      <c r="E180" s="134"/>
      <c r="F180" s="134"/>
      <c r="G180" s="134"/>
      <c r="H180" s="134"/>
    </row>
    <row r="181" spans="5:8" x14ac:dyDescent="0.25">
      <c r="E181" s="134"/>
      <c r="F181" s="134"/>
      <c r="G181" s="134"/>
      <c r="H181" s="134"/>
    </row>
    <row r="182" spans="5:8" x14ac:dyDescent="0.25">
      <c r="E182" s="134"/>
      <c r="F182" s="134"/>
      <c r="G182" s="134"/>
      <c r="H182" s="134"/>
    </row>
    <row r="183" spans="5:8" x14ac:dyDescent="0.25">
      <c r="E183" s="134"/>
      <c r="F183" s="134"/>
      <c r="G183" s="134"/>
      <c r="H183" s="134"/>
    </row>
    <row r="184" spans="5:8" x14ac:dyDescent="0.25">
      <c r="E184" s="134"/>
      <c r="F184" s="134"/>
      <c r="G184" s="134"/>
      <c r="H184" s="134"/>
    </row>
    <row r="185" spans="5:8" x14ac:dyDescent="0.25">
      <c r="E185" s="134"/>
      <c r="F185" s="134"/>
      <c r="G185" s="134"/>
      <c r="H185" s="134"/>
    </row>
    <row r="186" spans="5:8" x14ac:dyDescent="0.25">
      <c r="E186" s="134"/>
      <c r="F186" s="134"/>
      <c r="G186" s="134"/>
      <c r="H186" s="134"/>
    </row>
    <row r="187" spans="5:8" x14ac:dyDescent="0.25">
      <c r="E187" s="134"/>
      <c r="F187" s="134"/>
      <c r="G187" s="134"/>
      <c r="H187" s="134"/>
    </row>
    <row r="188" spans="5:8" x14ac:dyDescent="0.25">
      <c r="E188" s="134"/>
      <c r="F188" s="134"/>
      <c r="G188" s="134"/>
      <c r="H188" s="134"/>
    </row>
    <row r="189" spans="5:8" x14ac:dyDescent="0.25">
      <c r="E189" s="134"/>
      <c r="F189" s="134"/>
      <c r="G189" s="134"/>
      <c r="H189" s="134"/>
    </row>
    <row r="190" spans="5:8" x14ac:dyDescent="0.25">
      <c r="E190" s="134"/>
      <c r="F190" s="134"/>
      <c r="G190" s="134"/>
      <c r="H190" s="134"/>
    </row>
    <row r="191" spans="5:8" x14ac:dyDescent="0.25">
      <c r="E191" s="134"/>
      <c r="F191" s="134"/>
      <c r="G191" s="134"/>
      <c r="H191" s="134"/>
    </row>
    <row r="192" spans="5:8" x14ac:dyDescent="0.25">
      <c r="E192" s="134"/>
      <c r="F192" s="134"/>
      <c r="G192" s="134"/>
      <c r="H192" s="134"/>
    </row>
    <row r="193" spans="5:8" x14ac:dyDescent="0.25">
      <c r="E193" s="134"/>
      <c r="F193" s="134"/>
      <c r="G193" s="134"/>
      <c r="H193" s="134"/>
    </row>
    <row r="194" spans="5:8" x14ac:dyDescent="0.25">
      <c r="E194" s="134"/>
      <c r="F194" s="134"/>
      <c r="G194" s="134"/>
      <c r="H194" s="134"/>
    </row>
    <row r="195" spans="5:8" x14ac:dyDescent="0.25">
      <c r="E195" s="134"/>
      <c r="F195" s="134"/>
      <c r="G195" s="134"/>
      <c r="H195" s="134"/>
    </row>
    <row r="196" spans="5:8" x14ac:dyDescent="0.25">
      <c r="E196" s="134"/>
      <c r="F196" s="134"/>
      <c r="G196" s="134"/>
      <c r="H196" s="134"/>
    </row>
    <row r="197" spans="5:8" x14ac:dyDescent="0.25">
      <c r="E197" s="134"/>
      <c r="F197" s="134"/>
      <c r="G197" s="134"/>
      <c r="H197" s="134"/>
    </row>
    <row r="198" spans="5:8" x14ac:dyDescent="0.25">
      <c r="E198" s="134"/>
      <c r="F198" s="134"/>
      <c r="G198" s="134"/>
      <c r="H198" s="134"/>
    </row>
    <row r="199" spans="5:8" x14ac:dyDescent="0.25">
      <c r="E199" s="134"/>
      <c r="F199" s="134"/>
      <c r="G199" s="134"/>
      <c r="H199" s="134"/>
    </row>
    <row r="200" spans="5:8" x14ac:dyDescent="0.25">
      <c r="E200" s="134"/>
      <c r="F200" s="134"/>
      <c r="G200" s="134"/>
      <c r="H200" s="134"/>
    </row>
    <row r="201" spans="5:8" x14ac:dyDescent="0.25">
      <c r="E201" s="134"/>
      <c r="F201" s="134"/>
      <c r="G201" s="134"/>
      <c r="H201" s="134"/>
    </row>
    <row r="202" spans="5:8" x14ac:dyDescent="0.25">
      <c r="E202" s="134"/>
      <c r="F202" s="134"/>
      <c r="G202" s="134"/>
      <c r="H202" s="134"/>
    </row>
    <row r="203" spans="5:8" x14ac:dyDescent="0.25">
      <c r="E203" s="134"/>
      <c r="F203" s="134"/>
      <c r="G203" s="134"/>
      <c r="H203" s="134"/>
    </row>
    <row r="204" spans="5:8" x14ac:dyDescent="0.25">
      <c r="E204" s="134"/>
      <c r="F204" s="134"/>
      <c r="G204" s="134"/>
      <c r="H204" s="134"/>
    </row>
    <row r="205" spans="5:8" x14ac:dyDescent="0.25">
      <c r="E205" s="134"/>
      <c r="F205" s="134"/>
      <c r="G205" s="134"/>
      <c r="H205" s="134"/>
    </row>
    <row r="206" spans="5:8" x14ac:dyDescent="0.25">
      <c r="E206" s="134"/>
      <c r="F206" s="134"/>
      <c r="G206" s="134"/>
      <c r="H206" s="134"/>
    </row>
    <row r="207" spans="5:8" x14ac:dyDescent="0.25">
      <c r="E207" s="134"/>
      <c r="F207" s="134"/>
      <c r="G207" s="134"/>
      <c r="H207" s="134"/>
    </row>
    <row r="208" spans="5:8" x14ac:dyDescent="0.25">
      <c r="E208" s="134"/>
      <c r="F208" s="134"/>
      <c r="G208" s="134"/>
      <c r="H208" s="134"/>
    </row>
    <row r="209" spans="5:8" x14ac:dyDescent="0.25">
      <c r="E209" s="134"/>
      <c r="F209" s="134"/>
      <c r="G209" s="134"/>
      <c r="H209" s="134"/>
    </row>
    <row r="210" spans="5:8" x14ac:dyDescent="0.25">
      <c r="E210" s="134"/>
      <c r="F210" s="134"/>
      <c r="G210" s="134"/>
      <c r="H210" s="134"/>
    </row>
    <row r="211" spans="5:8" x14ac:dyDescent="0.25">
      <c r="E211" s="134"/>
      <c r="F211" s="134"/>
      <c r="G211" s="134"/>
      <c r="H211" s="134"/>
    </row>
    <row r="212" spans="5:8" x14ac:dyDescent="0.25">
      <c r="E212" s="134"/>
      <c r="F212" s="134"/>
      <c r="G212" s="134"/>
      <c r="H212" s="134"/>
    </row>
    <row r="213" spans="5:8" x14ac:dyDescent="0.25">
      <c r="E213" s="134"/>
      <c r="F213" s="134"/>
      <c r="G213" s="134"/>
      <c r="H213" s="134"/>
    </row>
    <row r="214" spans="5:8" x14ac:dyDescent="0.25">
      <c r="E214" s="134"/>
      <c r="F214" s="134"/>
      <c r="G214" s="134"/>
      <c r="H214" s="134"/>
    </row>
    <row r="215" spans="5:8" x14ac:dyDescent="0.25">
      <c r="E215" s="134"/>
      <c r="F215" s="134"/>
      <c r="G215" s="134"/>
      <c r="H215" s="134"/>
    </row>
    <row r="216" spans="5:8" x14ac:dyDescent="0.25">
      <c r="E216" s="134"/>
      <c r="F216" s="134"/>
      <c r="G216" s="134"/>
      <c r="H216" s="134"/>
    </row>
    <row r="217" spans="5:8" x14ac:dyDescent="0.25">
      <c r="E217" s="134"/>
      <c r="F217" s="134"/>
      <c r="G217" s="134"/>
      <c r="H217" s="134"/>
    </row>
    <row r="218" spans="5:8" x14ac:dyDescent="0.25">
      <c r="E218" s="134"/>
      <c r="F218" s="134"/>
      <c r="G218" s="134"/>
      <c r="H218" s="134"/>
    </row>
    <row r="219" spans="5:8" x14ac:dyDescent="0.25">
      <c r="E219" s="134"/>
      <c r="F219" s="134"/>
      <c r="G219" s="134"/>
      <c r="H219" s="134"/>
    </row>
    <row r="220" spans="5:8" x14ac:dyDescent="0.25">
      <c r="E220" s="134"/>
      <c r="F220" s="134"/>
      <c r="G220" s="134"/>
      <c r="H220" s="134"/>
    </row>
    <row r="221" spans="5:8" x14ac:dyDescent="0.25">
      <c r="E221" s="134"/>
      <c r="F221" s="134"/>
      <c r="G221" s="134"/>
      <c r="H221" s="134"/>
    </row>
    <row r="222" spans="5:8" x14ac:dyDescent="0.25">
      <c r="E222" s="134"/>
      <c r="F222" s="134"/>
      <c r="G222" s="134"/>
      <c r="H222" s="134"/>
    </row>
    <row r="223" spans="5:8" x14ac:dyDescent="0.25">
      <c r="E223" s="134"/>
      <c r="F223" s="134"/>
      <c r="G223" s="134"/>
      <c r="H223" s="134"/>
    </row>
    <row r="224" spans="5:8" x14ac:dyDescent="0.25">
      <c r="E224" s="134"/>
      <c r="F224" s="134"/>
      <c r="G224" s="134"/>
      <c r="H224" s="134"/>
    </row>
    <row r="225" spans="5:8" x14ac:dyDescent="0.25">
      <c r="E225" s="134"/>
      <c r="F225" s="134"/>
      <c r="G225" s="134"/>
      <c r="H225" s="134"/>
    </row>
    <row r="226" spans="5:8" x14ac:dyDescent="0.25">
      <c r="E226" s="134"/>
      <c r="F226" s="134"/>
      <c r="G226" s="134"/>
      <c r="H226" s="134"/>
    </row>
    <row r="227" spans="5:8" x14ac:dyDescent="0.25">
      <c r="E227" s="134"/>
      <c r="F227" s="134"/>
      <c r="G227" s="134"/>
      <c r="H227" s="134"/>
    </row>
    <row r="228" spans="5:8" x14ac:dyDescent="0.25">
      <c r="E228" s="134"/>
      <c r="F228" s="134"/>
      <c r="G228" s="134"/>
      <c r="H228" s="134"/>
    </row>
    <row r="229" spans="5:8" x14ac:dyDescent="0.25">
      <c r="E229" s="134"/>
      <c r="F229" s="134"/>
      <c r="G229" s="134"/>
      <c r="H229" s="134"/>
    </row>
    <row r="230" spans="5:8" x14ac:dyDescent="0.25">
      <c r="E230" s="134"/>
      <c r="F230" s="134"/>
      <c r="G230" s="134"/>
      <c r="H230" s="134"/>
    </row>
    <row r="231" spans="5:8" x14ac:dyDescent="0.25">
      <c r="E231" s="134"/>
      <c r="F231" s="134"/>
      <c r="G231" s="134"/>
      <c r="H231" s="134"/>
    </row>
    <row r="232" spans="5:8" x14ac:dyDescent="0.25">
      <c r="E232" s="134"/>
      <c r="F232" s="134"/>
      <c r="G232" s="134"/>
      <c r="H232" s="134"/>
    </row>
    <row r="233" spans="5:8" x14ac:dyDescent="0.25">
      <c r="E233" s="134"/>
      <c r="F233" s="134"/>
      <c r="G233" s="134"/>
      <c r="H233" s="134"/>
    </row>
    <row r="234" spans="5:8" x14ac:dyDescent="0.25">
      <c r="E234" s="134"/>
      <c r="F234" s="134"/>
      <c r="G234" s="134"/>
      <c r="H234" s="134"/>
    </row>
    <row r="235" spans="5:8" x14ac:dyDescent="0.25">
      <c r="E235" s="134"/>
      <c r="F235" s="134"/>
      <c r="G235" s="134"/>
      <c r="H235" s="134"/>
    </row>
    <row r="236" spans="5:8" x14ac:dyDescent="0.25">
      <c r="E236" s="134"/>
      <c r="F236" s="134"/>
      <c r="G236" s="134"/>
      <c r="H236" s="134"/>
    </row>
    <row r="237" spans="5:8" x14ac:dyDescent="0.25">
      <c r="E237" s="134"/>
      <c r="F237" s="134"/>
      <c r="G237" s="134"/>
      <c r="H237" s="134"/>
    </row>
    <row r="238" spans="5:8" x14ac:dyDescent="0.25">
      <c r="E238" s="134"/>
      <c r="F238" s="134"/>
      <c r="G238" s="134"/>
      <c r="H238" s="134"/>
    </row>
    <row r="239" spans="5:8" x14ac:dyDescent="0.25">
      <c r="E239" s="134"/>
      <c r="F239" s="134"/>
      <c r="G239" s="134"/>
      <c r="H239" s="134"/>
    </row>
    <row r="240" spans="5:8" x14ac:dyDescent="0.25">
      <c r="E240" s="134"/>
      <c r="F240" s="134"/>
      <c r="G240" s="134"/>
      <c r="H240" s="134"/>
    </row>
    <row r="241" spans="5:8" x14ac:dyDescent="0.25">
      <c r="E241" s="134"/>
      <c r="F241" s="134"/>
      <c r="G241" s="134"/>
      <c r="H241" s="134"/>
    </row>
    <row r="242" spans="5:8" x14ac:dyDescent="0.25">
      <c r="E242" s="134"/>
      <c r="F242" s="134"/>
      <c r="G242" s="134"/>
      <c r="H242" s="134"/>
    </row>
    <row r="243" spans="5:8" x14ac:dyDescent="0.25">
      <c r="E243" s="134"/>
      <c r="F243" s="134"/>
      <c r="G243" s="134"/>
      <c r="H243" s="134"/>
    </row>
    <row r="244" spans="5:8" x14ac:dyDescent="0.25">
      <c r="E244" s="134"/>
      <c r="F244" s="134"/>
      <c r="G244" s="134"/>
      <c r="H244" s="134"/>
    </row>
    <row r="245" spans="5:8" x14ac:dyDescent="0.25">
      <c r="E245" s="134"/>
      <c r="F245" s="134"/>
      <c r="G245" s="134"/>
      <c r="H245" s="134"/>
    </row>
    <row r="246" spans="5:8" x14ac:dyDescent="0.25">
      <c r="E246" s="134"/>
      <c r="F246" s="134"/>
      <c r="G246" s="134"/>
      <c r="H246" s="134"/>
    </row>
    <row r="247" spans="5:8" x14ac:dyDescent="0.25">
      <c r="E247" s="134"/>
      <c r="F247" s="134"/>
      <c r="G247" s="134"/>
      <c r="H247" s="134"/>
    </row>
    <row r="248" spans="5:8" x14ac:dyDescent="0.25">
      <c r="E248" s="134"/>
      <c r="F248" s="134"/>
      <c r="G248" s="134"/>
      <c r="H248" s="134"/>
    </row>
    <row r="249" spans="5:8" x14ac:dyDescent="0.25">
      <c r="E249" s="134"/>
      <c r="F249" s="134"/>
      <c r="G249" s="134"/>
      <c r="H249" s="134"/>
    </row>
    <row r="250" spans="5:8" x14ac:dyDescent="0.25">
      <c r="E250" s="134"/>
      <c r="F250" s="134"/>
      <c r="G250" s="134"/>
      <c r="H250" s="134"/>
    </row>
    <row r="251" spans="5:8" x14ac:dyDescent="0.25">
      <c r="E251" s="134"/>
      <c r="F251" s="134"/>
      <c r="G251" s="134"/>
      <c r="H251" s="134"/>
    </row>
    <row r="252" spans="5:8" x14ac:dyDescent="0.25">
      <c r="E252" s="134"/>
      <c r="F252" s="134"/>
      <c r="G252" s="134"/>
      <c r="H252" s="134"/>
    </row>
    <row r="253" spans="5:8" x14ac:dyDescent="0.25">
      <c r="E253" s="134"/>
      <c r="F253" s="134"/>
      <c r="G253" s="134"/>
      <c r="H253" s="134"/>
    </row>
    <row r="254" spans="5:8" x14ac:dyDescent="0.25">
      <c r="E254" s="134"/>
      <c r="F254" s="134"/>
      <c r="G254" s="134"/>
      <c r="H254" s="134"/>
    </row>
    <row r="255" spans="5:8" x14ac:dyDescent="0.25">
      <c r="E255" s="134"/>
      <c r="F255" s="134"/>
      <c r="G255" s="134"/>
      <c r="H255" s="134"/>
    </row>
    <row r="256" spans="5:8" x14ac:dyDescent="0.25">
      <c r="E256" s="134"/>
      <c r="F256" s="134"/>
      <c r="G256" s="134"/>
      <c r="H256" s="134"/>
    </row>
    <row r="257" spans="5:8" x14ac:dyDescent="0.25">
      <c r="E257" s="134"/>
      <c r="F257" s="134"/>
      <c r="G257" s="134"/>
      <c r="H257" s="134"/>
    </row>
    <row r="258" spans="5:8" x14ac:dyDescent="0.25">
      <c r="E258" s="134"/>
      <c r="F258" s="134"/>
      <c r="G258" s="134"/>
      <c r="H258" s="134"/>
    </row>
    <row r="259" spans="5:8" x14ac:dyDescent="0.25">
      <c r="E259" s="134"/>
      <c r="F259" s="134"/>
      <c r="G259" s="134"/>
      <c r="H259" s="134"/>
    </row>
    <row r="260" spans="5:8" x14ac:dyDescent="0.25">
      <c r="E260" s="134"/>
      <c r="F260" s="134"/>
      <c r="G260" s="134"/>
      <c r="H260" s="134"/>
    </row>
    <row r="261" spans="5:8" x14ac:dyDescent="0.25">
      <c r="E261" s="134"/>
      <c r="F261" s="134"/>
      <c r="G261" s="134"/>
      <c r="H261" s="134"/>
    </row>
    <row r="262" spans="5:8" x14ac:dyDescent="0.25">
      <c r="E262" s="134"/>
      <c r="F262" s="134"/>
      <c r="G262" s="134"/>
      <c r="H262" s="134"/>
    </row>
    <row r="263" spans="5:8" x14ac:dyDescent="0.25">
      <c r="E263" s="134"/>
      <c r="F263" s="134"/>
      <c r="G263" s="134"/>
      <c r="H263" s="134"/>
    </row>
    <row r="264" spans="5:8" x14ac:dyDescent="0.25">
      <c r="E264" s="134"/>
      <c r="F264" s="134"/>
      <c r="G264" s="134"/>
      <c r="H264" s="134"/>
    </row>
    <row r="265" spans="5:8" x14ac:dyDescent="0.25">
      <c r="E265" s="134"/>
      <c r="F265" s="134"/>
      <c r="G265" s="134"/>
      <c r="H265" s="134"/>
    </row>
    <row r="266" spans="5:8" x14ac:dyDescent="0.25">
      <c r="E266" s="134"/>
      <c r="F266" s="134"/>
      <c r="G266" s="134"/>
      <c r="H266" s="134"/>
    </row>
    <row r="267" spans="5:8" x14ac:dyDescent="0.25">
      <c r="E267" s="134"/>
      <c r="F267" s="134"/>
      <c r="G267" s="134"/>
      <c r="H267" s="134"/>
    </row>
    <row r="268" spans="5:8" x14ac:dyDescent="0.25">
      <c r="E268" s="134"/>
      <c r="F268" s="134"/>
      <c r="G268" s="134"/>
      <c r="H268" s="134"/>
    </row>
    <row r="269" spans="5:8" x14ac:dyDescent="0.25">
      <c r="E269" s="134"/>
      <c r="F269" s="134"/>
      <c r="G269" s="134"/>
      <c r="H269" s="134"/>
    </row>
    <row r="270" spans="5:8" x14ac:dyDescent="0.25">
      <c r="E270" s="134"/>
      <c r="F270" s="134"/>
      <c r="G270" s="134"/>
      <c r="H270" s="134"/>
    </row>
    <row r="271" spans="5:8" x14ac:dyDescent="0.25">
      <c r="E271" s="134"/>
      <c r="F271" s="134"/>
      <c r="G271" s="134"/>
      <c r="H271" s="134"/>
    </row>
    <row r="272" spans="5:8" x14ac:dyDescent="0.25">
      <c r="E272" s="134"/>
      <c r="F272" s="134"/>
      <c r="G272" s="134"/>
      <c r="H272" s="134"/>
    </row>
    <row r="273" spans="5:8" x14ac:dyDescent="0.25">
      <c r="E273" s="134"/>
      <c r="F273" s="134"/>
      <c r="G273" s="134"/>
      <c r="H273" s="134"/>
    </row>
    <row r="274" spans="5:8" x14ac:dyDescent="0.25">
      <c r="E274" s="134"/>
      <c r="F274" s="134"/>
      <c r="G274" s="134"/>
      <c r="H274" s="134"/>
    </row>
    <row r="275" spans="5:8" x14ac:dyDescent="0.25">
      <c r="E275" s="134"/>
      <c r="F275" s="134"/>
      <c r="G275" s="134"/>
      <c r="H275" s="134"/>
    </row>
    <row r="276" spans="5:8" x14ac:dyDescent="0.25">
      <c r="E276" s="134"/>
      <c r="F276" s="134"/>
      <c r="G276" s="134"/>
      <c r="H276" s="134"/>
    </row>
    <row r="277" spans="5:8" x14ac:dyDescent="0.25">
      <c r="E277" s="134"/>
      <c r="F277" s="134"/>
      <c r="G277" s="134"/>
      <c r="H277" s="134"/>
    </row>
    <row r="278" spans="5:8" x14ac:dyDescent="0.25">
      <c r="E278" s="134"/>
      <c r="F278" s="134"/>
      <c r="G278" s="134"/>
      <c r="H278" s="134"/>
    </row>
    <row r="279" spans="5:8" x14ac:dyDescent="0.25">
      <c r="E279" s="134"/>
      <c r="F279" s="134"/>
      <c r="G279" s="134"/>
      <c r="H279" s="134"/>
    </row>
    <row r="280" spans="5:8" x14ac:dyDescent="0.25">
      <c r="E280" s="134"/>
      <c r="F280" s="134"/>
      <c r="G280" s="134"/>
      <c r="H280" s="134"/>
    </row>
    <row r="281" spans="5:8" x14ac:dyDescent="0.25">
      <c r="E281" s="134"/>
      <c r="F281" s="134"/>
      <c r="G281" s="134"/>
      <c r="H281" s="134"/>
    </row>
    <row r="282" spans="5:8" x14ac:dyDescent="0.25">
      <c r="E282" s="134"/>
      <c r="F282" s="134"/>
      <c r="G282" s="134"/>
      <c r="H282" s="134"/>
    </row>
    <row r="283" spans="5:8" x14ac:dyDescent="0.25">
      <c r="E283" s="134"/>
      <c r="F283" s="134"/>
      <c r="G283" s="134"/>
      <c r="H283" s="134"/>
    </row>
    <row r="284" spans="5:8" x14ac:dyDescent="0.25">
      <c r="E284" s="134"/>
      <c r="F284" s="134"/>
      <c r="G284" s="134"/>
      <c r="H284" s="134"/>
    </row>
    <row r="285" spans="5:8" x14ac:dyDescent="0.25">
      <c r="E285" s="134"/>
      <c r="F285" s="134"/>
      <c r="G285" s="134"/>
      <c r="H285" s="134"/>
    </row>
    <row r="286" spans="5:8" x14ac:dyDescent="0.25">
      <c r="E286" s="134"/>
      <c r="F286" s="134"/>
      <c r="G286" s="134"/>
      <c r="H286" s="134"/>
    </row>
    <row r="287" spans="5:8" x14ac:dyDescent="0.25">
      <c r="E287" s="134"/>
      <c r="F287" s="134"/>
      <c r="G287" s="134"/>
      <c r="H287" s="134"/>
    </row>
    <row r="288" spans="5:8" x14ac:dyDescent="0.25">
      <c r="E288" s="134"/>
      <c r="F288" s="134"/>
      <c r="G288" s="134"/>
      <c r="H288" s="134"/>
    </row>
    <row r="289" spans="5:8" x14ac:dyDescent="0.25">
      <c r="E289" s="134"/>
      <c r="F289" s="134"/>
      <c r="G289" s="134"/>
      <c r="H289" s="134"/>
    </row>
    <row r="290" spans="5:8" x14ac:dyDescent="0.25">
      <c r="E290" s="134"/>
      <c r="F290" s="134"/>
      <c r="G290" s="134"/>
      <c r="H290" s="134"/>
    </row>
    <row r="291" spans="5:8" x14ac:dyDescent="0.25">
      <c r="E291" s="134"/>
      <c r="F291" s="134"/>
      <c r="G291" s="134"/>
      <c r="H291" s="134"/>
    </row>
    <row r="292" spans="5:8" x14ac:dyDescent="0.25">
      <c r="E292" s="134"/>
      <c r="F292" s="134"/>
      <c r="G292" s="134"/>
      <c r="H292" s="134"/>
    </row>
    <row r="293" spans="5:8" x14ac:dyDescent="0.25">
      <c r="E293" s="134"/>
      <c r="F293" s="134"/>
      <c r="G293" s="134"/>
      <c r="H293" s="134"/>
    </row>
    <row r="294" spans="5:8" x14ac:dyDescent="0.25">
      <c r="E294" s="134"/>
      <c r="F294" s="134"/>
      <c r="G294" s="134"/>
      <c r="H294" s="134"/>
    </row>
    <row r="295" spans="5:8" x14ac:dyDescent="0.25">
      <c r="E295" s="134"/>
      <c r="F295" s="134"/>
      <c r="G295" s="134"/>
      <c r="H295" s="134"/>
    </row>
    <row r="296" spans="5:8" x14ac:dyDescent="0.25">
      <c r="E296" s="134"/>
      <c r="F296" s="134"/>
      <c r="G296" s="134"/>
      <c r="H296" s="134"/>
    </row>
    <row r="297" spans="5:8" x14ac:dyDescent="0.25">
      <c r="E297" s="134"/>
      <c r="F297" s="134"/>
      <c r="G297" s="134"/>
      <c r="H297" s="134"/>
    </row>
    <row r="298" spans="5:8" x14ac:dyDescent="0.25">
      <c r="E298" s="134"/>
      <c r="F298" s="134"/>
      <c r="G298" s="134"/>
      <c r="H298" s="134"/>
    </row>
    <row r="299" spans="5:8" x14ac:dyDescent="0.25">
      <c r="E299" s="134"/>
      <c r="F299" s="134"/>
      <c r="G299" s="134"/>
      <c r="H299" s="134"/>
    </row>
    <row r="300" spans="5:8" x14ac:dyDescent="0.25">
      <c r="E300" s="134"/>
      <c r="F300" s="134"/>
      <c r="G300" s="134"/>
      <c r="H300" s="134"/>
    </row>
    <row r="301" spans="5:8" x14ac:dyDescent="0.25">
      <c r="E301" s="134"/>
      <c r="F301" s="134"/>
      <c r="G301" s="134"/>
      <c r="H301" s="134"/>
    </row>
    <row r="302" spans="5:8" x14ac:dyDescent="0.25">
      <c r="E302" s="134"/>
      <c r="F302" s="134"/>
      <c r="G302" s="134"/>
      <c r="H302" s="134"/>
    </row>
    <row r="303" spans="5:8" x14ac:dyDescent="0.25">
      <c r="E303" s="134"/>
      <c r="F303" s="134"/>
      <c r="G303" s="134"/>
      <c r="H303" s="134"/>
    </row>
    <row r="304" spans="5:8" x14ac:dyDescent="0.25">
      <c r="E304" s="134"/>
      <c r="F304" s="134"/>
      <c r="G304" s="134"/>
      <c r="H304" s="134"/>
    </row>
    <row r="305" spans="5:8" x14ac:dyDescent="0.25">
      <c r="E305" s="134"/>
      <c r="F305" s="134"/>
      <c r="G305" s="134"/>
      <c r="H305" s="134"/>
    </row>
    <row r="306" spans="5:8" x14ac:dyDescent="0.25">
      <c r="E306" s="134"/>
      <c r="F306" s="134"/>
      <c r="G306" s="134"/>
      <c r="H306" s="134"/>
    </row>
    <row r="307" spans="5:8" x14ac:dyDescent="0.25">
      <c r="E307" s="134"/>
      <c r="F307" s="134"/>
      <c r="G307" s="134"/>
      <c r="H307" s="134"/>
    </row>
    <row r="308" spans="5:8" x14ac:dyDescent="0.25">
      <c r="E308" s="134"/>
      <c r="F308" s="134"/>
      <c r="G308" s="134"/>
      <c r="H308" s="134"/>
    </row>
    <row r="309" spans="5:8" x14ac:dyDescent="0.25">
      <c r="E309" s="134"/>
      <c r="F309" s="134"/>
      <c r="G309" s="134"/>
      <c r="H309" s="134"/>
    </row>
    <row r="310" spans="5:8" x14ac:dyDescent="0.25">
      <c r="E310" s="134"/>
      <c r="F310" s="134"/>
      <c r="G310" s="134"/>
      <c r="H310" s="134"/>
    </row>
    <row r="311" spans="5:8" x14ac:dyDescent="0.25">
      <c r="E311" s="134"/>
      <c r="F311" s="134"/>
      <c r="G311" s="134"/>
      <c r="H311" s="134"/>
    </row>
    <row r="312" spans="5:8" x14ac:dyDescent="0.25">
      <c r="E312" s="134"/>
      <c r="F312" s="134"/>
      <c r="G312" s="134"/>
      <c r="H312" s="134"/>
    </row>
    <row r="313" spans="5:8" x14ac:dyDescent="0.25">
      <c r="E313" s="134"/>
      <c r="F313" s="134"/>
      <c r="G313" s="134"/>
      <c r="H313" s="134"/>
    </row>
    <row r="314" spans="5:8" x14ac:dyDescent="0.25">
      <c r="E314" s="134"/>
      <c r="F314" s="134"/>
      <c r="G314" s="134"/>
      <c r="H314" s="134"/>
    </row>
    <row r="315" spans="5:8" x14ac:dyDescent="0.25">
      <c r="E315" s="134"/>
      <c r="F315" s="134"/>
      <c r="G315" s="134"/>
      <c r="H315" s="134"/>
    </row>
    <row r="316" spans="5:8" x14ac:dyDescent="0.25">
      <c r="E316" s="134"/>
      <c r="F316" s="134"/>
      <c r="G316" s="134"/>
      <c r="H316" s="134"/>
    </row>
    <row r="317" spans="5:8" x14ac:dyDescent="0.25">
      <c r="E317" s="134"/>
      <c r="F317" s="134"/>
      <c r="G317" s="134"/>
      <c r="H317" s="134"/>
    </row>
    <row r="318" spans="5:8" x14ac:dyDescent="0.25">
      <c r="E318" s="134"/>
      <c r="F318" s="134"/>
      <c r="G318" s="134"/>
      <c r="H318" s="134"/>
    </row>
    <row r="319" spans="5:8" x14ac:dyDescent="0.25">
      <c r="E319" s="134"/>
      <c r="F319" s="134"/>
      <c r="G319" s="134"/>
      <c r="H319" s="134"/>
    </row>
    <row r="320" spans="5:8" x14ac:dyDescent="0.25">
      <c r="E320" s="134"/>
      <c r="F320" s="134"/>
      <c r="G320" s="134"/>
      <c r="H320" s="134"/>
    </row>
    <row r="321" spans="5:8" x14ac:dyDescent="0.25">
      <c r="E321" s="134"/>
      <c r="F321" s="134"/>
      <c r="G321" s="134"/>
      <c r="H321" s="134"/>
    </row>
    <row r="322" spans="5:8" x14ac:dyDescent="0.25">
      <c r="E322" s="134"/>
      <c r="F322" s="134"/>
      <c r="G322" s="134"/>
      <c r="H322" s="134"/>
    </row>
    <row r="323" spans="5:8" x14ac:dyDescent="0.25">
      <c r="E323" s="134"/>
      <c r="F323" s="134"/>
      <c r="G323" s="134"/>
      <c r="H323" s="134"/>
    </row>
    <row r="324" spans="5:8" x14ac:dyDescent="0.25">
      <c r="E324" s="134"/>
      <c r="F324" s="134"/>
      <c r="G324" s="134"/>
      <c r="H324" s="134"/>
    </row>
    <row r="325" spans="5:8" x14ac:dyDescent="0.25">
      <c r="E325" s="134"/>
      <c r="F325" s="134"/>
      <c r="G325" s="134"/>
      <c r="H325" s="134"/>
    </row>
    <row r="326" spans="5:8" x14ac:dyDescent="0.25">
      <c r="E326" s="134"/>
      <c r="F326" s="134"/>
      <c r="G326" s="134"/>
      <c r="H326" s="134"/>
    </row>
    <row r="327" spans="5:8" x14ac:dyDescent="0.25">
      <c r="E327" s="134"/>
      <c r="F327" s="134"/>
      <c r="G327" s="134"/>
      <c r="H327" s="134"/>
    </row>
    <row r="328" spans="5:8" x14ac:dyDescent="0.25">
      <c r="E328" s="134"/>
      <c r="F328" s="134"/>
      <c r="G328" s="134"/>
      <c r="H328" s="134"/>
    </row>
    <row r="329" spans="5:8" x14ac:dyDescent="0.25">
      <c r="E329" s="134"/>
      <c r="F329" s="134"/>
      <c r="G329" s="134"/>
      <c r="H329" s="134"/>
    </row>
    <row r="330" spans="5:8" x14ac:dyDescent="0.25">
      <c r="E330" s="134"/>
      <c r="F330" s="134"/>
      <c r="G330" s="134"/>
      <c r="H330" s="134"/>
    </row>
    <row r="331" spans="5:8" x14ac:dyDescent="0.25">
      <c r="E331" s="134"/>
      <c r="F331" s="134"/>
      <c r="G331" s="134"/>
      <c r="H331" s="134"/>
    </row>
    <row r="332" spans="5:8" x14ac:dyDescent="0.25">
      <c r="E332" s="134"/>
      <c r="F332" s="134"/>
      <c r="G332" s="134"/>
      <c r="H332" s="134"/>
    </row>
    <row r="333" spans="5:8" x14ac:dyDescent="0.25">
      <c r="E333" s="134"/>
      <c r="F333" s="134"/>
      <c r="G333" s="134"/>
      <c r="H333" s="134"/>
    </row>
    <row r="334" spans="5:8" x14ac:dyDescent="0.25">
      <c r="E334" s="134"/>
      <c r="F334" s="134"/>
      <c r="G334" s="134"/>
      <c r="H334" s="134"/>
    </row>
    <row r="335" spans="5:8" x14ac:dyDescent="0.25">
      <c r="E335" s="134"/>
      <c r="F335" s="134"/>
      <c r="G335" s="134"/>
      <c r="H335" s="134"/>
    </row>
    <row r="336" spans="5:8" x14ac:dyDescent="0.25">
      <c r="E336" s="134"/>
      <c r="F336" s="134"/>
      <c r="G336" s="134"/>
      <c r="H336" s="134"/>
    </row>
    <row r="337" spans="5:8" x14ac:dyDescent="0.25">
      <c r="E337" s="134"/>
      <c r="F337" s="134"/>
      <c r="G337" s="134"/>
      <c r="H337" s="134"/>
    </row>
    <row r="338" spans="5:8" x14ac:dyDescent="0.25">
      <c r="E338" s="134"/>
      <c r="F338" s="134"/>
      <c r="G338" s="134"/>
      <c r="H338" s="134"/>
    </row>
    <row r="339" spans="5:8" x14ac:dyDescent="0.25">
      <c r="E339" s="134"/>
      <c r="F339" s="134"/>
      <c r="G339" s="134"/>
      <c r="H339" s="134"/>
    </row>
    <row r="340" spans="5:8" x14ac:dyDescent="0.25">
      <c r="E340" s="134"/>
      <c r="F340" s="134"/>
      <c r="G340" s="134"/>
      <c r="H340" s="134"/>
    </row>
    <row r="341" spans="5:8" x14ac:dyDescent="0.25">
      <c r="E341" s="134"/>
      <c r="F341" s="134"/>
      <c r="G341" s="134"/>
      <c r="H341" s="134"/>
    </row>
    <row r="342" spans="5:8" x14ac:dyDescent="0.25">
      <c r="E342" s="134"/>
      <c r="F342" s="134"/>
      <c r="G342" s="134"/>
      <c r="H342" s="134"/>
    </row>
    <row r="343" spans="5:8" x14ac:dyDescent="0.25">
      <c r="E343" s="134"/>
      <c r="F343" s="134"/>
      <c r="G343" s="134"/>
      <c r="H343" s="134"/>
    </row>
    <row r="344" spans="5:8" x14ac:dyDescent="0.25">
      <c r="E344" s="134"/>
      <c r="F344" s="134"/>
      <c r="G344" s="134"/>
      <c r="H344" s="134"/>
    </row>
    <row r="345" spans="5:8" x14ac:dyDescent="0.25">
      <c r="E345" s="134"/>
      <c r="F345" s="134"/>
      <c r="G345" s="134"/>
      <c r="H345" s="134"/>
    </row>
    <row r="346" spans="5:8" x14ac:dyDescent="0.25">
      <c r="E346" s="134"/>
      <c r="F346" s="134"/>
      <c r="G346" s="134"/>
      <c r="H346" s="134"/>
    </row>
    <row r="347" spans="5:8" x14ac:dyDescent="0.25">
      <c r="E347" s="134"/>
      <c r="F347" s="134"/>
      <c r="G347" s="134"/>
      <c r="H347" s="134"/>
    </row>
    <row r="348" spans="5:8" x14ac:dyDescent="0.25">
      <c r="E348" s="134"/>
      <c r="F348" s="134"/>
      <c r="G348" s="134"/>
      <c r="H348" s="134"/>
    </row>
    <row r="349" spans="5:8" x14ac:dyDescent="0.25">
      <c r="E349" s="134"/>
      <c r="F349" s="134"/>
      <c r="G349" s="134"/>
      <c r="H349" s="134"/>
    </row>
    <row r="350" spans="5:8" x14ac:dyDescent="0.25">
      <c r="E350" s="134"/>
      <c r="F350" s="134"/>
      <c r="G350" s="134"/>
      <c r="H350" s="134"/>
    </row>
    <row r="351" spans="5:8" x14ac:dyDescent="0.25">
      <c r="E351" s="134"/>
      <c r="F351" s="134"/>
      <c r="G351" s="134"/>
      <c r="H351" s="134"/>
    </row>
    <row r="352" spans="5:8" x14ac:dyDescent="0.25">
      <c r="E352" s="134"/>
      <c r="F352" s="134"/>
      <c r="G352" s="134"/>
      <c r="H352" s="134"/>
    </row>
    <row r="353" spans="5:8" x14ac:dyDescent="0.25">
      <c r="E353" s="134"/>
      <c r="F353" s="134"/>
      <c r="G353" s="134"/>
      <c r="H353" s="134"/>
    </row>
    <row r="354" spans="5:8" x14ac:dyDescent="0.25">
      <c r="E354" s="134"/>
      <c r="F354" s="134"/>
      <c r="G354" s="134"/>
      <c r="H354" s="134"/>
    </row>
    <row r="355" spans="5:8" x14ac:dyDescent="0.25">
      <c r="E355" s="134"/>
      <c r="F355" s="134"/>
      <c r="G355" s="134"/>
      <c r="H355" s="134"/>
    </row>
    <row r="356" spans="5:8" x14ac:dyDescent="0.25">
      <c r="E356" s="134"/>
      <c r="F356" s="134"/>
      <c r="G356" s="134"/>
      <c r="H356" s="134"/>
    </row>
    <row r="357" spans="5:8" x14ac:dyDescent="0.25">
      <c r="E357" s="134"/>
      <c r="F357" s="134"/>
      <c r="G357" s="134"/>
      <c r="H357" s="134"/>
    </row>
    <row r="358" spans="5:8" x14ac:dyDescent="0.25">
      <c r="E358" s="134"/>
      <c r="F358" s="134"/>
      <c r="G358" s="134"/>
      <c r="H358" s="134"/>
    </row>
    <row r="359" spans="5:8" x14ac:dyDescent="0.25">
      <c r="E359" s="134"/>
      <c r="F359" s="134"/>
      <c r="G359" s="134"/>
      <c r="H359" s="134"/>
    </row>
    <row r="360" spans="5:8" x14ac:dyDescent="0.25">
      <c r="E360" s="134"/>
      <c r="F360" s="134"/>
      <c r="G360" s="134"/>
      <c r="H360" s="134"/>
    </row>
    <row r="361" spans="5:8" x14ac:dyDescent="0.25">
      <c r="E361" s="134"/>
      <c r="F361" s="134"/>
      <c r="G361" s="134"/>
      <c r="H361" s="134"/>
    </row>
    <row r="362" spans="5:8" x14ac:dyDescent="0.25">
      <c r="E362" s="134"/>
      <c r="F362" s="134"/>
      <c r="G362" s="134"/>
      <c r="H362" s="134"/>
    </row>
    <row r="363" spans="5:8" x14ac:dyDescent="0.25">
      <c r="E363" s="134"/>
      <c r="F363" s="134"/>
      <c r="G363" s="134"/>
      <c r="H363" s="134"/>
    </row>
    <row r="364" spans="5:8" x14ac:dyDescent="0.25">
      <c r="E364" s="134"/>
      <c r="F364" s="134"/>
      <c r="G364" s="134"/>
      <c r="H364" s="134"/>
    </row>
    <row r="365" spans="5:8" x14ac:dyDescent="0.25">
      <c r="E365" s="134"/>
      <c r="F365" s="134"/>
      <c r="G365" s="134"/>
      <c r="H365" s="134"/>
    </row>
    <row r="366" spans="5:8" x14ac:dyDescent="0.25">
      <c r="E366" s="134"/>
      <c r="F366" s="134"/>
      <c r="G366" s="134"/>
      <c r="H366" s="134"/>
    </row>
    <row r="367" spans="5:8" x14ac:dyDescent="0.25">
      <c r="E367" s="134"/>
      <c r="F367" s="134"/>
      <c r="G367" s="134"/>
      <c r="H367" s="134"/>
    </row>
    <row r="368" spans="5:8" x14ac:dyDescent="0.25">
      <c r="E368" s="134"/>
      <c r="F368" s="134"/>
      <c r="G368" s="134"/>
      <c r="H368" s="134"/>
    </row>
    <row r="369" spans="5:8" x14ac:dyDescent="0.25">
      <c r="E369" s="134"/>
      <c r="F369" s="134"/>
      <c r="G369" s="134"/>
      <c r="H369" s="134"/>
    </row>
    <row r="370" spans="5:8" x14ac:dyDescent="0.25">
      <c r="E370" s="134"/>
      <c r="F370" s="134"/>
      <c r="G370" s="134"/>
      <c r="H370" s="134"/>
    </row>
    <row r="371" spans="5:8" x14ac:dyDescent="0.25">
      <c r="E371" s="134"/>
      <c r="F371" s="134"/>
      <c r="G371" s="134"/>
      <c r="H371" s="134"/>
    </row>
    <row r="372" spans="5:8" x14ac:dyDescent="0.25">
      <c r="E372" s="134"/>
      <c r="F372" s="134"/>
      <c r="G372" s="134"/>
      <c r="H372" s="134"/>
    </row>
    <row r="373" spans="5:8" x14ac:dyDescent="0.25">
      <c r="E373" s="134"/>
      <c r="F373" s="134"/>
      <c r="G373" s="134"/>
      <c r="H373" s="134"/>
    </row>
    <row r="374" spans="5:8" x14ac:dyDescent="0.25">
      <c r="E374" s="134"/>
      <c r="F374" s="134"/>
      <c r="G374" s="134"/>
      <c r="H374" s="134"/>
    </row>
    <row r="375" spans="5:8" x14ac:dyDescent="0.25">
      <c r="E375" s="134"/>
      <c r="F375" s="134"/>
      <c r="G375" s="134"/>
      <c r="H375" s="134"/>
    </row>
    <row r="376" spans="5:8" x14ac:dyDescent="0.25">
      <c r="E376" s="134"/>
      <c r="F376" s="134"/>
      <c r="G376" s="134"/>
      <c r="H376" s="134"/>
    </row>
    <row r="377" spans="5:8" x14ac:dyDescent="0.25">
      <c r="E377" s="134"/>
      <c r="F377" s="134"/>
      <c r="G377" s="134"/>
      <c r="H377" s="134"/>
    </row>
    <row r="378" spans="5:8" x14ac:dyDescent="0.25">
      <c r="E378" s="134"/>
      <c r="F378" s="134"/>
      <c r="G378" s="134"/>
      <c r="H378" s="134"/>
    </row>
    <row r="379" spans="5:8" x14ac:dyDescent="0.25">
      <c r="E379" s="134"/>
      <c r="F379" s="134"/>
      <c r="G379" s="134"/>
      <c r="H379" s="134"/>
    </row>
    <row r="380" spans="5:8" x14ac:dyDescent="0.25">
      <c r="E380" s="134"/>
      <c r="F380" s="134"/>
      <c r="G380" s="134"/>
      <c r="H380" s="134"/>
    </row>
    <row r="381" spans="5:8" x14ac:dyDescent="0.25">
      <c r="E381" s="134"/>
      <c r="F381" s="134"/>
      <c r="G381" s="134"/>
      <c r="H381" s="134"/>
    </row>
    <row r="382" spans="5:8" x14ac:dyDescent="0.25">
      <c r="E382" s="134"/>
      <c r="F382" s="134"/>
      <c r="G382" s="134"/>
      <c r="H382" s="134"/>
    </row>
    <row r="383" spans="5:8" x14ac:dyDescent="0.25">
      <c r="E383" s="134"/>
      <c r="F383" s="134"/>
      <c r="G383" s="134"/>
      <c r="H383" s="134"/>
    </row>
    <row r="384" spans="5:8" x14ac:dyDescent="0.25">
      <c r="E384" s="134"/>
      <c r="F384" s="134"/>
      <c r="G384" s="134"/>
      <c r="H384" s="134"/>
    </row>
    <row r="385" spans="5:8" x14ac:dyDescent="0.25">
      <c r="E385" s="134"/>
      <c r="F385" s="134"/>
      <c r="G385" s="134"/>
      <c r="H385" s="134"/>
    </row>
    <row r="386" spans="5:8" x14ac:dyDescent="0.25">
      <c r="E386" s="134"/>
      <c r="F386" s="134"/>
      <c r="G386" s="134"/>
      <c r="H386" s="134"/>
    </row>
    <row r="387" spans="5:8" x14ac:dyDescent="0.25">
      <c r="E387" s="134"/>
      <c r="F387" s="134"/>
      <c r="G387" s="134"/>
      <c r="H387" s="134"/>
    </row>
    <row r="388" spans="5:8" x14ac:dyDescent="0.25">
      <c r="E388" s="134"/>
      <c r="F388" s="134"/>
      <c r="G388" s="134"/>
      <c r="H388" s="134"/>
    </row>
    <row r="389" spans="5:8" x14ac:dyDescent="0.25">
      <c r="E389" s="134"/>
      <c r="F389" s="134"/>
      <c r="G389" s="134"/>
      <c r="H389" s="134"/>
    </row>
    <row r="390" spans="5:8" x14ac:dyDescent="0.25">
      <c r="E390" s="134"/>
      <c r="F390" s="134"/>
      <c r="G390" s="134"/>
      <c r="H390" s="134"/>
    </row>
    <row r="391" spans="5:8" x14ac:dyDescent="0.25">
      <c r="E391" s="134"/>
      <c r="F391" s="134"/>
      <c r="G391" s="134"/>
      <c r="H391" s="134"/>
    </row>
    <row r="392" spans="5:8" x14ac:dyDescent="0.25">
      <c r="E392" s="134"/>
      <c r="F392" s="134"/>
      <c r="G392" s="134"/>
      <c r="H392" s="134"/>
    </row>
    <row r="393" spans="5:8" x14ac:dyDescent="0.25">
      <c r="E393" s="134"/>
      <c r="F393" s="134"/>
      <c r="G393" s="134"/>
      <c r="H393" s="134"/>
    </row>
    <row r="394" spans="5:8" x14ac:dyDescent="0.25">
      <c r="E394" s="134"/>
      <c r="F394" s="134"/>
      <c r="G394" s="134"/>
      <c r="H394" s="134"/>
    </row>
    <row r="395" spans="5:8" x14ac:dyDescent="0.25">
      <c r="E395" s="134"/>
      <c r="F395" s="134"/>
      <c r="G395" s="134"/>
      <c r="H395" s="134"/>
    </row>
    <row r="396" spans="5:8" x14ac:dyDescent="0.25">
      <c r="E396" s="134"/>
      <c r="F396" s="134"/>
      <c r="G396" s="134"/>
      <c r="H396" s="134"/>
    </row>
    <row r="397" spans="5:8" x14ac:dyDescent="0.25">
      <c r="E397" s="134"/>
      <c r="F397" s="134"/>
      <c r="G397" s="134"/>
      <c r="H397" s="134"/>
    </row>
    <row r="398" spans="5:8" x14ac:dyDescent="0.25">
      <c r="E398" s="134"/>
      <c r="F398" s="134"/>
      <c r="G398" s="134"/>
      <c r="H398" s="134"/>
    </row>
    <row r="399" spans="5:8" x14ac:dyDescent="0.25">
      <c r="E399" s="134"/>
      <c r="F399" s="134"/>
      <c r="G399" s="134"/>
      <c r="H399" s="134"/>
    </row>
    <row r="400" spans="5:8" x14ac:dyDescent="0.25">
      <c r="E400" s="134"/>
      <c r="F400" s="134"/>
      <c r="G400" s="134"/>
      <c r="H400" s="134"/>
    </row>
    <row r="401" spans="5:8" x14ac:dyDescent="0.25">
      <c r="E401" s="134"/>
      <c r="F401" s="134"/>
      <c r="G401" s="134"/>
      <c r="H401" s="134"/>
    </row>
    <row r="402" spans="5:8" x14ac:dyDescent="0.25">
      <c r="E402" s="134"/>
      <c r="F402" s="134"/>
      <c r="G402" s="134"/>
      <c r="H402" s="134"/>
    </row>
    <row r="403" spans="5:8" x14ac:dyDescent="0.25">
      <c r="E403" s="134"/>
      <c r="F403" s="134"/>
      <c r="G403" s="134"/>
      <c r="H403" s="134"/>
    </row>
    <row r="404" spans="5:8" x14ac:dyDescent="0.25">
      <c r="E404" s="134"/>
      <c r="F404" s="134"/>
      <c r="G404" s="134"/>
      <c r="H404" s="134"/>
    </row>
    <row r="405" spans="5:8" x14ac:dyDescent="0.25">
      <c r="E405" s="134"/>
      <c r="F405" s="134"/>
      <c r="G405" s="134"/>
      <c r="H405" s="134"/>
    </row>
    <row r="406" spans="5:8" x14ac:dyDescent="0.25">
      <c r="E406" s="134"/>
      <c r="F406" s="134"/>
      <c r="G406" s="134"/>
      <c r="H406" s="134"/>
    </row>
    <row r="407" spans="5:8" x14ac:dyDescent="0.25">
      <c r="E407" s="134"/>
      <c r="F407" s="134"/>
      <c r="G407" s="134"/>
      <c r="H407" s="134"/>
    </row>
    <row r="408" spans="5:8" x14ac:dyDescent="0.25">
      <c r="E408" s="134"/>
      <c r="F408" s="134"/>
      <c r="G408" s="134"/>
      <c r="H408" s="134"/>
    </row>
    <row r="409" spans="5:8" x14ac:dyDescent="0.25">
      <c r="E409" s="134"/>
      <c r="F409" s="134"/>
      <c r="G409" s="134"/>
      <c r="H409" s="134"/>
    </row>
    <row r="410" spans="5:8" x14ac:dyDescent="0.25">
      <c r="E410" s="134"/>
      <c r="F410" s="134"/>
      <c r="G410" s="134"/>
      <c r="H410" s="134"/>
    </row>
    <row r="411" spans="5:8" x14ac:dyDescent="0.25">
      <c r="E411" s="134"/>
      <c r="F411" s="134"/>
      <c r="G411" s="134"/>
      <c r="H411" s="134"/>
    </row>
    <row r="412" spans="5:8" x14ac:dyDescent="0.25">
      <c r="E412" s="134"/>
      <c r="F412" s="134"/>
      <c r="G412" s="134"/>
      <c r="H412" s="134"/>
    </row>
    <row r="413" spans="5:8" x14ac:dyDescent="0.25">
      <c r="E413" s="134"/>
      <c r="F413" s="134"/>
      <c r="G413" s="134"/>
      <c r="H413" s="134"/>
    </row>
    <row r="414" spans="5:8" x14ac:dyDescent="0.25">
      <c r="E414" s="134"/>
      <c r="F414" s="134"/>
      <c r="G414" s="134"/>
      <c r="H414" s="134"/>
    </row>
    <row r="415" spans="5:8" x14ac:dyDescent="0.25">
      <c r="E415" s="134"/>
      <c r="F415" s="134"/>
      <c r="G415" s="134"/>
      <c r="H415" s="134"/>
    </row>
    <row r="416" spans="5:8" x14ac:dyDescent="0.25">
      <c r="E416" s="134"/>
      <c r="F416" s="134"/>
      <c r="G416" s="134"/>
      <c r="H416" s="134"/>
    </row>
    <row r="417" spans="5:8" x14ac:dyDescent="0.25">
      <c r="E417" s="134"/>
      <c r="F417" s="134"/>
      <c r="G417" s="134"/>
      <c r="H417" s="134"/>
    </row>
    <row r="418" spans="5:8" x14ac:dyDescent="0.25">
      <c r="E418" s="134"/>
      <c r="F418" s="134"/>
      <c r="G418" s="134"/>
      <c r="H418" s="134"/>
    </row>
    <row r="419" spans="5:8" x14ac:dyDescent="0.25">
      <c r="E419" s="134"/>
      <c r="F419" s="134"/>
      <c r="G419" s="134"/>
      <c r="H419" s="134"/>
    </row>
    <row r="420" spans="5:8" x14ac:dyDescent="0.25">
      <c r="E420" s="134"/>
      <c r="F420" s="134"/>
      <c r="G420" s="134"/>
      <c r="H420" s="134"/>
    </row>
    <row r="421" spans="5:8" x14ac:dyDescent="0.25">
      <c r="E421" s="134"/>
      <c r="F421" s="134"/>
      <c r="G421" s="134"/>
      <c r="H421" s="134"/>
    </row>
    <row r="422" spans="5:8" x14ac:dyDescent="0.25">
      <c r="E422" s="134"/>
      <c r="F422" s="134"/>
      <c r="G422" s="134"/>
      <c r="H422" s="134"/>
    </row>
    <row r="423" spans="5:8" x14ac:dyDescent="0.25">
      <c r="E423" s="134"/>
      <c r="F423" s="134"/>
      <c r="G423" s="134"/>
      <c r="H423" s="134"/>
    </row>
    <row r="424" spans="5:8" x14ac:dyDescent="0.25">
      <c r="E424" s="134"/>
      <c r="F424" s="134"/>
      <c r="G424" s="134"/>
      <c r="H424" s="134"/>
    </row>
    <row r="425" spans="5:8" x14ac:dyDescent="0.25">
      <c r="E425" s="134"/>
      <c r="F425" s="134"/>
      <c r="G425" s="134"/>
      <c r="H425" s="134"/>
    </row>
    <row r="426" spans="5:8" x14ac:dyDescent="0.25">
      <c r="E426" s="134"/>
      <c r="F426" s="134"/>
      <c r="G426" s="134"/>
      <c r="H426" s="134"/>
    </row>
    <row r="427" spans="5:8" x14ac:dyDescent="0.25">
      <c r="E427" s="134"/>
      <c r="F427" s="134"/>
      <c r="G427" s="134"/>
      <c r="H427" s="134"/>
    </row>
    <row r="428" spans="5:8" x14ac:dyDescent="0.25">
      <c r="E428" s="134"/>
      <c r="F428" s="134"/>
      <c r="G428" s="134"/>
      <c r="H428" s="134"/>
    </row>
    <row r="429" spans="5:8" x14ac:dyDescent="0.25">
      <c r="E429" s="134"/>
      <c r="F429" s="134"/>
      <c r="G429" s="134"/>
      <c r="H429" s="134"/>
    </row>
    <row r="430" spans="5:8" x14ac:dyDescent="0.25">
      <c r="E430" s="134"/>
      <c r="F430" s="134"/>
      <c r="G430" s="134"/>
      <c r="H430" s="134"/>
    </row>
    <row r="431" spans="5:8" x14ac:dyDescent="0.25">
      <c r="E431" s="134"/>
      <c r="F431" s="134"/>
      <c r="G431" s="134"/>
      <c r="H431" s="134"/>
    </row>
    <row r="432" spans="5:8" x14ac:dyDescent="0.25">
      <c r="E432" s="134"/>
      <c r="F432" s="134"/>
      <c r="G432" s="134"/>
      <c r="H432" s="134"/>
    </row>
    <row r="433" spans="5:8" x14ac:dyDescent="0.25">
      <c r="E433" s="134"/>
      <c r="F433" s="134"/>
      <c r="G433" s="134"/>
      <c r="H433" s="134"/>
    </row>
    <row r="434" spans="5:8" x14ac:dyDescent="0.25">
      <c r="E434" s="134"/>
      <c r="F434" s="134"/>
      <c r="G434" s="134"/>
      <c r="H434" s="134"/>
    </row>
    <row r="435" spans="5:8" x14ac:dyDescent="0.25">
      <c r="E435" s="134"/>
      <c r="F435" s="134"/>
      <c r="G435" s="134"/>
      <c r="H435" s="134"/>
    </row>
    <row r="436" spans="5:8" x14ac:dyDescent="0.25">
      <c r="E436" s="134"/>
      <c r="F436" s="134"/>
      <c r="G436" s="134"/>
      <c r="H436" s="134"/>
    </row>
    <row r="437" spans="5:8" x14ac:dyDescent="0.25">
      <c r="E437" s="134"/>
      <c r="F437" s="134"/>
      <c r="G437" s="134"/>
      <c r="H437" s="134"/>
    </row>
    <row r="438" spans="5:8" x14ac:dyDescent="0.25">
      <c r="E438" s="134"/>
      <c r="F438" s="134"/>
      <c r="G438" s="134"/>
      <c r="H438" s="134"/>
    </row>
    <row r="439" spans="5:8" x14ac:dyDescent="0.25">
      <c r="E439" s="134"/>
      <c r="F439" s="134"/>
      <c r="G439" s="134"/>
      <c r="H439" s="134"/>
    </row>
    <row r="440" spans="5:8" x14ac:dyDescent="0.25">
      <c r="E440" s="134"/>
      <c r="F440" s="134"/>
      <c r="G440" s="134"/>
      <c r="H440" s="134"/>
    </row>
    <row r="441" spans="5:8" x14ac:dyDescent="0.25">
      <c r="E441" s="134"/>
      <c r="F441" s="134"/>
      <c r="G441" s="134"/>
      <c r="H441" s="134"/>
    </row>
    <row r="442" spans="5:8" x14ac:dyDescent="0.25">
      <c r="E442" s="134"/>
      <c r="F442" s="134"/>
      <c r="G442" s="134"/>
      <c r="H442" s="134"/>
    </row>
    <row r="443" spans="5:8" x14ac:dyDescent="0.25">
      <c r="E443" s="134"/>
      <c r="F443" s="134"/>
      <c r="G443" s="134"/>
      <c r="H443" s="134"/>
    </row>
    <row r="444" spans="5:8" x14ac:dyDescent="0.25">
      <c r="E444" s="134"/>
      <c r="F444" s="134"/>
      <c r="G444" s="134"/>
      <c r="H444" s="134"/>
    </row>
    <row r="445" spans="5:8" x14ac:dyDescent="0.25">
      <c r="E445" s="134"/>
      <c r="F445" s="134"/>
      <c r="G445" s="134"/>
      <c r="H445" s="134"/>
    </row>
    <row r="446" spans="5:8" x14ac:dyDescent="0.25">
      <c r="E446" s="134"/>
      <c r="F446" s="134"/>
      <c r="G446" s="134"/>
      <c r="H446" s="134"/>
    </row>
    <row r="447" spans="5:8" x14ac:dyDescent="0.25">
      <c r="E447" s="134"/>
      <c r="F447" s="134"/>
      <c r="G447" s="134"/>
      <c r="H447" s="134"/>
    </row>
    <row r="448" spans="5:8" x14ac:dyDescent="0.25">
      <c r="E448" s="134"/>
      <c r="F448" s="134"/>
      <c r="G448" s="134"/>
      <c r="H448" s="134"/>
    </row>
    <row r="449" spans="5:8" x14ac:dyDescent="0.25">
      <c r="E449" s="134"/>
      <c r="F449" s="134"/>
      <c r="G449" s="134"/>
      <c r="H449" s="134"/>
    </row>
    <row r="450" spans="5:8" x14ac:dyDescent="0.25">
      <c r="E450" s="134"/>
      <c r="F450" s="134"/>
      <c r="G450" s="134"/>
      <c r="H450" s="134"/>
    </row>
    <row r="451" spans="5:8" x14ac:dyDescent="0.25">
      <c r="E451" s="134"/>
      <c r="F451" s="134"/>
      <c r="G451" s="134"/>
      <c r="H451" s="134"/>
    </row>
    <row r="452" spans="5:8" x14ac:dyDescent="0.25">
      <c r="E452" s="134"/>
      <c r="F452" s="134"/>
      <c r="G452" s="134"/>
      <c r="H452" s="134"/>
    </row>
    <row r="453" spans="5:8" x14ac:dyDescent="0.25">
      <c r="E453" s="134"/>
      <c r="F453" s="134"/>
      <c r="H453" s="134"/>
    </row>
    <row r="454" spans="5:8" x14ac:dyDescent="0.25">
      <c r="E454" s="134"/>
      <c r="F454" s="134"/>
      <c r="H454" s="134"/>
    </row>
    <row r="455" spans="5:8" x14ac:dyDescent="0.25">
      <c r="E455" s="134"/>
      <c r="F455" s="134"/>
      <c r="H455" s="134"/>
    </row>
    <row r="456" spans="5:8" x14ac:dyDescent="0.25">
      <c r="E456" s="134"/>
      <c r="F456" s="134"/>
      <c r="H456" s="134"/>
    </row>
    <row r="457" spans="5:8" x14ac:dyDescent="0.25">
      <c r="E457" s="134"/>
      <c r="F457" s="134"/>
      <c r="H457" s="134"/>
    </row>
    <row r="458" spans="5:8" x14ac:dyDescent="0.25">
      <c r="E458" s="134"/>
      <c r="F458" s="134"/>
      <c r="H458" s="134"/>
    </row>
    <row r="459" spans="5:8" x14ac:dyDescent="0.25">
      <c r="H459" s="134"/>
    </row>
    <row r="460" spans="5:8" x14ac:dyDescent="0.25">
      <c r="H460" s="134"/>
    </row>
    <row r="461" spans="5:8" x14ac:dyDescent="0.25">
      <c r="H461" s="134"/>
    </row>
    <row r="462" spans="5:8" x14ac:dyDescent="0.25">
      <c r="H462" s="134"/>
    </row>
    <row r="463" spans="5:8" x14ac:dyDescent="0.25">
      <c r="H463" s="134"/>
    </row>
    <row r="464" spans="5:8" x14ac:dyDescent="0.25">
      <c r="H464" s="134"/>
    </row>
  </sheetData>
  <mergeCells count="5">
    <mergeCell ref="C1:I2"/>
    <mergeCell ref="C3:I4"/>
    <mergeCell ref="D10:I10"/>
    <mergeCell ref="C33:I33"/>
    <mergeCell ref="A23:K28"/>
  </mergeCells>
  <pageMargins left="0.7" right="0.7" top="0.75" bottom="0.75" header="0.3" footer="0.3"/>
  <pageSetup scale="6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149"/>
  <sheetViews>
    <sheetView showGridLines="0" topLeftCell="A46" zoomScale="70" zoomScaleNormal="70" zoomScaleSheetLayoutView="70" workbookViewId="0">
      <selection activeCell="F19" sqref="F19"/>
    </sheetView>
  </sheetViews>
  <sheetFormatPr baseColWidth="10" defaultRowHeight="15.75" x14ac:dyDescent="0.25"/>
  <cols>
    <col min="1" max="12" width="15.7109375" style="147" customWidth="1"/>
    <col min="13" max="16384" width="11.42578125" style="147"/>
  </cols>
  <sheetData>
    <row r="1" spans="1:11" s="159" customFormat="1" ht="15.75" customHeight="1" x14ac:dyDescent="0.25">
      <c r="B1" s="233" t="s">
        <v>10</v>
      </c>
      <c r="C1" s="233"/>
      <c r="D1" s="233"/>
      <c r="E1" s="233"/>
      <c r="F1" s="233"/>
      <c r="G1" s="233"/>
      <c r="H1" s="181"/>
      <c r="I1" s="181"/>
    </row>
    <row r="2" spans="1:11" s="159" customFormat="1" ht="15.75" customHeight="1" x14ac:dyDescent="0.25">
      <c r="B2" s="181"/>
      <c r="C2" s="181"/>
      <c r="D2" s="181"/>
      <c r="E2" s="181"/>
      <c r="F2" s="181"/>
      <c r="G2" s="181"/>
      <c r="H2" s="181"/>
      <c r="I2" s="181"/>
    </row>
    <row r="3" spans="1:11" s="159" customFormat="1" ht="15.75" customHeight="1" x14ac:dyDescent="0.25">
      <c r="B3" s="233" t="s">
        <v>11</v>
      </c>
      <c r="C3" s="233"/>
      <c r="D3" s="233"/>
      <c r="E3" s="233"/>
      <c r="F3" s="233"/>
      <c r="G3" s="233"/>
      <c r="H3" s="181"/>
      <c r="I3" s="181"/>
    </row>
    <row r="4" spans="1:11" s="159" customFormat="1" ht="15.75" customHeight="1" x14ac:dyDescent="0.25">
      <c r="B4" s="233"/>
      <c r="C4" s="233"/>
      <c r="D4" s="233"/>
      <c r="E4" s="233"/>
      <c r="F4" s="233"/>
      <c r="G4" s="233"/>
      <c r="H4" s="181"/>
      <c r="I4" s="181"/>
    </row>
    <row r="5" spans="1:11" s="159" customFormat="1" x14ac:dyDescent="0.25"/>
    <row r="6" spans="1:11" s="159" customFormat="1" x14ac:dyDescent="0.25"/>
    <row r="7" spans="1:11" s="159" customFormat="1" x14ac:dyDescent="0.25"/>
    <row r="8" spans="1:11" s="159" customFormat="1" x14ac:dyDescent="0.25"/>
    <row r="9" spans="1:11" s="159" customFormat="1" x14ac:dyDescent="0.25"/>
    <row r="10" spans="1:11" s="159" customFormat="1" ht="21" x14ac:dyDescent="0.25">
      <c r="K10" s="166"/>
    </row>
    <row r="11" spans="1:11" s="159" customFormat="1" ht="21" customHeight="1" x14ac:dyDescent="0.25">
      <c r="A11" s="235" t="s">
        <v>260</v>
      </c>
      <c r="B11" s="235"/>
      <c r="C11" s="235"/>
      <c r="D11" s="235"/>
      <c r="E11" s="235"/>
      <c r="F11" s="235"/>
      <c r="G11" s="235"/>
      <c r="H11" s="235"/>
      <c r="I11" s="235"/>
      <c r="J11" s="166"/>
    </row>
    <row r="12" spans="1:11" s="159" customFormat="1" x14ac:dyDescent="0.25"/>
    <row r="13" spans="1:11" x14ac:dyDescent="0.25">
      <c r="A13" s="231" t="s">
        <v>222</v>
      </c>
      <c r="B13" s="231"/>
      <c r="C13" s="231"/>
      <c r="D13" s="234" t="s">
        <v>301</v>
      </c>
      <c r="E13" s="234"/>
      <c r="F13" s="234"/>
      <c r="G13" s="234"/>
      <c r="H13" s="234"/>
      <c r="I13" s="234"/>
      <c r="J13" s="153"/>
      <c r="K13" s="153"/>
    </row>
    <row r="14" spans="1:11" x14ac:dyDescent="0.25">
      <c r="A14" s="231" t="s">
        <v>223</v>
      </c>
      <c r="B14" s="231"/>
      <c r="C14" s="231"/>
      <c r="D14" s="232" t="s">
        <v>302</v>
      </c>
      <c r="E14" s="232"/>
      <c r="F14" s="232"/>
      <c r="G14" s="232"/>
      <c r="H14" s="232"/>
      <c r="I14" s="232"/>
      <c r="J14" s="182"/>
      <c r="K14" s="182"/>
    </row>
    <row r="15" spans="1:11" x14ac:dyDescent="0.25">
      <c r="A15" s="231" t="s">
        <v>224</v>
      </c>
      <c r="B15" s="231"/>
      <c r="C15" s="231"/>
      <c r="D15" s="232" t="s">
        <v>303</v>
      </c>
      <c r="E15" s="232"/>
      <c r="F15" s="232"/>
      <c r="G15" s="232"/>
      <c r="H15" s="232"/>
      <c r="I15" s="232"/>
      <c r="J15" s="182"/>
      <c r="K15" s="182"/>
    </row>
    <row r="16" spans="1:11" x14ac:dyDescent="0.25">
      <c r="A16" s="231" t="s">
        <v>225</v>
      </c>
      <c r="B16" s="231"/>
      <c r="C16" s="231"/>
      <c r="D16" s="232" t="s">
        <v>307</v>
      </c>
      <c r="E16" s="232"/>
      <c r="F16" s="232"/>
      <c r="G16" s="232"/>
      <c r="H16" s="232"/>
      <c r="I16" s="232"/>
      <c r="J16" s="182"/>
      <c r="K16" s="182"/>
    </row>
    <row r="17" spans="1:11" ht="15" customHeight="1" x14ac:dyDescent="0.25">
      <c r="A17" s="231" t="s">
        <v>226</v>
      </c>
      <c r="B17" s="231"/>
      <c r="C17" s="231"/>
      <c r="D17" s="232" t="s">
        <v>304</v>
      </c>
      <c r="E17" s="232"/>
      <c r="F17" s="232"/>
      <c r="G17" s="232"/>
      <c r="H17" s="232"/>
      <c r="I17" s="232"/>
      <c r="J17" s="151"/>
      <c r="K17" s="151"/>
    </row>
    <row r="18" spans="1:11" ht="15" customHeight="1" x14ac:dyDescent="0.25">
      <c r="A18" s="174"/>
      <c r="B18" s="174"/>
      <c r="C18" s="174"/>
      <c r="D18" s="232"/>
      <c r="E18" s="232"/>
      <c r="F18" s="232"/>
      <c r="G18" s="232"/>
      <c r="H18" s="232"/>
      <c r="I18" s="232"/>
      <c r="J18" s="151"/>
      <c r="K18" s="151"/>
    </row>
    <row r="19" spans="1:11" ht="15" customHeight="1" x14ac:dyDescent="0.25">
      <c r="A19" s="174"/>
      <c r="B19" s="174"/>
      <c r="C19" s="174"/>
      <c r="D19" s="151"/>
      <c r="E19" s="151"/>
      <c r="F19" s="151"/>
      <c r="G19" s="151"/>
      <c r="H19" s="151"/>
      <c r="I19" s="151"/>
      <c r="J19" s="151"/>
      <c r="K19" s="151"/>
    </row>
    <row r="20" spans="1:11" ht="15" customHeight="1" x14ac:dyDescent="0.25">
      <c r="D20" s="151"/>
      <c r="E20" s="151"/>
      <c r="F20" s="151"/>
      <c r="G20" s="151"/>
      <c r="H20" s="151"/>
      <c r="I20" s="151"/>
      <c r="J20" s="151"/>
      <c r="K20" s="151"/>
    </row>
    <row r="21" spans="1:11" ht="15" customHeight="1" x14ac:dyDescent="0.25">
      <c r="A21" s="183" t="s">
        <v>275</v>
      </c>
      <c r="B21" s="153"/>
      <c r="C21" s="153"/>
      <c r="D21" s="151"/>
      <c r="E21" s="151"/>
      <c r="F21" s="151"/>
      <c r="G21" s="151"/>
      <c r="H21" s="151"/>
      <c r="I21" s="151"/>
      <c r="J21" s="151"/>
      <c r="K21" s="151"/>
    </row>
    <row r="22" spans="1:11" ht="15" customHeight="1" x14ac:dyDescent="0.25">
      <c r="A22" s="153"/>
      <c r="B22" s="157" t="s">
        <v>234</v>
      </c>
      <c r="C22" s="156">
        <f>'GEOMETRIA DEL MURO'!F10</f>
        <v>3.73</v>
      </c>
      <c r="D22" s="156" t="str">
        <f>'GEOMETRIA DEL MURO'!G10</f>
        <v>m</v>
      </c>
      <c r="E22" s="151"/>
      <c r="F22" s="151"/>
      <c r="G22" s="151"/>
      <c r="H22" s="151"/>
      <c r="I22" s="151"/>
    </row>
    <row r="23" spans="1:11" ht="15" customHeight="1" x14ac:dyDescent="0.25">
      <c r="A23" s="153"/>
      <c r="B23" s="153" t="s">
        <v>235</v>
      </c>
      <c r="C23" s="153"/>
      <c r="D23" s="151"/>
      <c r="E23" s="151"/>
      <c r="F23" s="151"/>
      <c r="G23" s="151"/>
      <c r="H23" s="151"/>
      <c r="I23" s="151"/>
    </row>
    <row r="24" spans="1:11" ht="15" customHeight="1" x14ac:dyDescent="0.25">
      <c r="A24" s="153"/>
      <c r="B24" s="153"/>
      <c r="C24" s="153" t="str">
        <f>'PROPIEDADES DE LOS SUELOS'!B13</f>
        <v>Suelo de cimentación o de desplante:</v>
      </c>
      <c r="D24" s="151"/>
      <c r="E24" s="151"/>
      <c r="F24" s="151"/>
      <c r="G24" s="151"/>
      <c r="H24" s="151"/>
      <c r="I24" s="151"/>
    </row>
    <row r="25" spans="1:11" ht="15" customHeight="1" x14ac:dyDescent="0.35">
      <c r="A25" s="153"/>
      <c r="B25" s="153"/>
      <c r="C25" s="153"/>
      <c r="D25" s="154" t="s">
        <v>271</v>
      </c>
      <c r="E25" s="152">
        <f>'PROPIEDADES DE LOS SUELOS'!C14</f>
        <v>16.43</v>
      </c>
      <c r="F25" s="152" t="str">
        <f>'PROPIEDADES DE LOS SUELOS'!D14</f>
        <v>KN/m3</v>
      </c>
      <c r="G25" s="151"/>
      <c r="H25" s="151"/>
      <c r="I25" s="151"/>
    </row>
    <row r="26" spans="1:11" ht="15" customHeight="1" x14ac:dyDescent="0.35">
      <c r="A26" s="153"/>
      <c r="B26" s="153"/>
      <c r="C26" s="153"/>
      <c r="D26" s="155" t="s">
        <v>272</v>
      </c>
      <c r="E26" s="152">
        <f>'PROPIEDADES DE LOS SUELOS'!C15</f>
        <v>99</v>
      </c>
      <c r="F26" s="152" t="str">
        <f>'PROPIEDADES DE LOS SUELOS'!D15</f>
        <v>KN/m2</v>
      </c>
      <c r="G26" s="151"/>
      <c r="H26" s="151"/>
      <c r="I26" s="151"/>
    </row>
    <row r="27" spans="1:11" ht="18.75" x14ac:dyDescent="0.35">
      <c r="D27" s="154" t="s">
        <v>273</v>
      </c>
      <c r="E27" s="152">
        <f>'PROPIEDADES DE LOS SUELOS'!C16</f>
        <v>28</v>
      </c>
      <c r="F27" s="152" t="str">
        <f>'PROPIEDADES DE LOS SUELOS'!D16</f>
        <v>°</v>
      </c>
    </row>
    <row r="28" spans="1:11" x14ac:dyDescent="0.25">
      <c r="C28" s="158" t="str">
        <f>'PROPIEDADES DE LOS SUELOS'!B18</f>
        <v>Relleno retenido:</v>
      </c>
      <c r="D28" s="154"/>
      <c r="E28" s="152"/>
    </row>
    <row r="29" spans="1:11" ht="18.75" x14ac:dyDescent="0.35">
      <c r="D29" s="154" t="s">
        <v>236</v>
      </c>
      <c r="E29" s="152">
        <f>'PROPIEDADES DE LOS SUELOS'!C19</f>
        <v>18</v>
      </c>
      <c r="F29" s="152" t="str">
        <f>'PROPIEDADES DE LOS SUELOS'!D19</f>
        <v>KN/m3</v>
      </c>
    </row>
    <row r="30" spans="1:11" ht="18.75" x14ac:dyDescent="0.35">
      <c r="D30" s="155" t="s">
        <v>237</v>
      </c>
      <c r="E30" s="152">
        <f>'PROPIEDADES DE LOS SUELOS'!C20</f>
        <v>10</v>
      </c>
      <c r="F30" s="152" t="str">
        <f>'PROPIEDADES DE LOS SUELOS'!D20</f>
        <v>KN/m2</v>
      </c>
    </row>
    <row r="31" spans="1:11" ht="18.75" x14ac:dyDescent="0.35">
      <c r="D31" s="154" t="s">
        <v>238</v>
      </c>
      <c r="E31" s="152">
        <f>'PROPIEDADES DE LOS SUELOS'!C21</f>
        <v>30</v>
      </c>
      <c r="F31" s="152" t="str">
        <f>'PROPIEDADES DE LOS SUELOS'!D21</f>
        <v>°</v>
      </c>
    </row>
    <row r="32" spans="1:11" x14ac:dyDescent="0.25">
      <c r="C32" s="147" t="str">
        <f>'PROPIEDADES DE LOS SUELOS'!B23</f>
        <v>Masa de suelo reforzado:</v>
      </c>
      <c r="D32" s="154"/>
      <c r="E32" s="152"/>
    </row>
    <row r="33" spans="1:10" ht="18.75" x14ac:dyDescent="0.35">
      <c r="D33" s="154" t="s">
        <v>239</v>
      </c>
      <c r="E33" s="152">
        <f>'PROPIEDADES DE LOS SUELOS'!C24</f>
        <v>18</v>
      </c>
      <c r="F33" s="152" t="str">
        <f>'PROPIEDADES DE LOS SUELOS'!D24</f>
        <v>KN/m3</v>
      </c>
    </row>
    <row r="34" spans="1:10" ht="18.75" x14ac:dyDescent="0.35">
      <c r="D34" s="155" t="s">
        <v>240</v>
      </c>
      <c r="E34" s="152">
        <f>'PROPIEDADES DE LOS SUELOS'!C25</f>
        <v>10</v>
      </c>
      <c r="F34" s="152" t="str">
        <f>'PROPIEDADES DE LOS SUELOS'!D25</f>
        <v>KN/m2</v>
      </c>
    </row>
    <row r="35" spans="1:10" ht="18.75" x14ac:dyDescent="0.35">
      <c r="D35" s="154" t="s">
        <v>241</v>
      </c>
      <c r="E35" s="152">
        <f>'PROPIEDADES DE LOS SUELOS'!C26</f>
        <v>30</v>
      </c>
      <c r="F35" s="152" t="str">
        <f>'PROPIEDADES DE LOS SUELOS'!D26</f>
        <v>°</v>
      </c>
    </row>
    <row r="36" spans="1:10" x14ac:dyDescent="0.25">
      <c r="A36" s="160"/>
      <c r="B36" s="147" t="s">
        <v>242</v>
      </c>
      <c r="D36" s="160"/>
      <c r="E36" s="160"/>
      <c r="F36" s="160"/>
      <c r="G36" s="160"/>
      <c r="H36" s="160"/>
      <c r="I36" s="160"/>
      <c r="J36" s="160"/>
    </row>
    <row r="37" spans="1:10" x14ac:dyDescent="0.25">
      <c r="A37" s="160"/>
      <c r="D37" s="48" t="s">
        <v>243</v>
      </c>
      <c r="F37" s="160"/>
      <c r="G37" s="160"/>
      <c r="H37" s="178" t="str">
        <f>'PROPIEDADES DEL GEOSINTETICO'!C25</f>
        <v>Geomalla</v>
      </c>
      <c r="I37" s="160"/>
    </row>
    <row r="38" spans="1:10" x14ac:dyDescent="0.25">
      <c r="A38" s="160"/>
      <c r="D38" s="158" t="s">
        <v>244</v>
      </c>
      <c r="F38" s="160"/>
      <c r="G38" s="160"/>
      <c r="H38" s="173">
        <f>'PROPIEDADES DEL GEOSINTETICO'!B15</f>
        <v>0.66</v>
      </c>
      <c r="I38" s="160"/>
    </row>
    <row r="39" spans="1:10" x14ac:dyDescent="0.25">
      <c r="A39" s="160"/>
      <c r="D39" s="158" t="s">
        <v>245</v>
      </c>
      <c r="F39" s="160"/>
      <c r="G39" s="160"/>
      <c r="H39" s="173">
        <f>'PROPIEDADES DEL GEOSINTETICO'!B30</f>
        <v>0</v>
      </c>
      <c r="I39" s="160"/>
    </row>
    <row r="40" spans="1:10" x14ac:dyDescent="0.25">
      <c r="A40" s="160"/>
      <c r="C40" s="158"/>
      <c r="D40" s="160"/>
      <c r="E40" s="160"/>
      <c r="F40" s="160"/>
      <c r="G40" s="160"/>
      <c r="H40" s="164"/>
      <c r="I40" s="160"/>
    </row>
    <row r="41" spans="1:10" x14ac:dyDescent="0.25">
      <c r="A41" s="184" t="s">
        <v>276</v>
      </c>
      <c r="H41" s="164"/>
    </row>
    <row r="42" spans="1:10" x14ac:dyDescent="0.25">
      <c r="A42" s="48"/>
      <c r="B42" s="147" t="str">
        <f>REVISION!A13</f>
        <v>Condiciones para el análisis de estabilidad externa.</v>
      </c>
      <c r="H42" s="164"/>
    </row>
    <row r="43" spans="1:10" x14ac:dyDescent="0.25">
      <c r="A43" s="48"/>
      <c r="C43" s="48" t="str">
        <f>REVISION!$B$14</f>
        <v>Condición de excentricidad "e":</v>
      </c>
      <c r="H43" s="179" t="s">
        <v>246</v>
      </c>
    </row>
    <row r="44" spans="1:10" x14ac:dyDescent="0.25">
      <c r="A44" s="48"/>
      <c r="C44" s="48" t="str">
        <f>REVISION!$B$27</f>
        <v>Condición del Factor de Seguridad por deslizamiento del muro "F.S.des":</v>
      </c>
      <c r="H44" s="164">
        <v>1.5</v>
      </c>
    </row>
    <row r="45" spans="1:10" x14ac:dyDescent="0.25">
      <c r="A45" s="48"/>
      <c r="C45" s="147" t="str">
        <f>REVISION!$B$43</f>
        <v>Condición del Factor de Seguridad por volteo del muro "F.S.V:</v>
      </c>
      <c r="H45" s="164">
        <v>2.5</v>
      </c>
    </row>
    <row r="46" spans="1:10" x14ac:dyDescent="0.25">
      <c r="A46" s="48"/>
      <c r="C46" s="147" t="str">
        <f>REVISION!A64</f>
        <v>Condiciones para el análisis de estabilidad interna.</v>
      </c>
      <c r="H46" s="164"/>
    </row>
    <row r="47" spans="1:10" ht="18.75" x14ac:dyDescent="0.25">
      <c r="A47" s="48"/>
      <c r="D47" s="147" t="str">
        <f>REVISION!B65</f>
        <v>Condición del Esfuerzo Vertical:</v>
      </c>
      <c r="H47" s="179" t="s">
        <v>252</v>
      </c>
    </row>
    <row r="48" spans="1:10" x14ac:dyDescent="0.25">
      <c r="A48" s="48"/>
      <c r="D48" s="147" t="str">
        <f>REVISION!B77</f>
        <v>Condición de factor de seguridad de la primera capa de refuerzo:</v>
      </c>
      <c r="H48" s="164">
        <v>1.5</v>
      </c>
    </row>
    <row r="49" spans="1:10" x14ac:dyDescent="0.25">
      <c r="H49" s="164"/>
    </row>
    <row r="50" spans="1:10" x14ac:dyDescent="0.25">
      <c r="A50" s="48" t="s">
        <v>253</v>
      </c>
      <c r="H50" s="164"/>
    </row>
    <row r="51" spans="1:10" x14ac:dyDescent="0.25">
      <c r="A51" s="147" t="s">
        <v>254</v>
      </c>
      <c r="H51" s="180">
        <f>'CARGAS DISTRIBUIDAS'!B13</f>
        <v>25</v>
      </c>
      <c r="I51" s="150" t="str">
        <f>'CARGAS DISTRIBUIDAS'!C13</f>
        <v>KN/m · m</v>
      </c>
    </row>
    <row r="52" spans="1:10" x14ac:dyDescent="0.25">
      <c r="A52" s="147" t="s">
        <v>274</v>
      </c>
      <c r="H52" s="180">
        <f>'CARGAS DISTRIBUIDAS'!C39</f>
        <v>0.17</v>
      </c>
    </row>
    <row r="53" spans="1:10" x14ac:dyDescent="0.25">
      <c r="A53" s="147" t="s">
        <v>255</v>
      </c>
      <c r="H53" s="164"/>
    </row>
    <row r="54" spans="1:10" x14ac:dyDescent="0.25">
      <c r="E54" s="147" t="s">
        <v>256</v>
      </c>
      <c r="H54" s="180">
        <f>'CARGAS CONCENTRADAS'!$D$34</f>
        <v>0</v>
      </c>
      <c r="I54" s="150" t="str">
        <f>'CARGAS CONCENTRADAS'!$E$34</f>
        <v>KN/m2</v>
      </c>
    </row>
    <row r="55" spans="1:10" x14ac:dyDescent="0.25">
      <c r="E55" s="147" t="s">
        <v>257</v>
      </c>
      <c r="H55" s="180">
        <f>'CARGAS CONCENTRADAS'!$D$59</f>
        <v>0</v>
      </c>
      <c r="I55" s="150" t="str">
        <f>'CARGAS CONCENTRADAS'!$E$59</f>
        <v>KN/m2</v>
      </c>
    </row>
    <row r="56" spans="1:10" ht="16.5" thickBot="1" x14ac:dyDescent="0.3"/>
    <row r="57" spans="1:10" ht="16.5" thickBot="1" x14ac:dyDescent="0.3">
      <c r="A57" s="228" t="s">
        <v>231</v>
      </c>
      <c r="B57" s="229"/>
      <c r="C57" s="229"/>
      <c r="D57" s="229"/>
      <c r="E57" s="229"/>
      <c r="F57" s="229"/>
      <c r="G57" s="229"/>
      <c r="H57" s="229"/>
      <c r="I57" s="230"/>
    </row>
    <row r="58" spans="1:10" ht="32.25" thickBot="1" x14ac:dyDescent="0.3">
      <c r="A58" s="170" t="s">
        <v>144</v>
      </c>
      <c r="B58" s="167" t="s">
        <v>131</v>
      </c>
      <c r="C58" s="167" t="s">
        <v>148</v>
      </c>
      <c r="D58" s="167" t="s">
        <v>146</v>
      </c>
      <c r="E58" s="167" t="s">
        <v>151</v>
      </c>
      <c r="F58" s="167" t="s">
        <v>258</v>
      </c>
      <c r="G58" s="167" t="s">
        <v>259</v>
      </c>
      <c r="H58" s="161" t="s">
        <v>233</v>
      </c>
      <c r="I58" s="161" t="s">
        <v>262</v>
      </c>
    </row>
    <row r="59" spans="1:10" x14ac:dyDescent="0.25">
      <c r="A59" s="171">
        <f>'DISEÑO FINAL'!D35</f>
        <v>1</v>
      </c>
      <c r="B59" s="172">
        <f>'DISEÑO FINAL'!E35</f>
        <v>0.5</v>
      </c>
      <c r="C59" s="173">
        <f>DISEÑO!C66</f>
        <v>1.864841369482491</v>
      </c>
      <c r="D59" s="172">
        <f>DISEÑO!D29</f>
        <v>1.549077426802973</v>
      </c>
      <c r="E59" s="172">
        <f>'DISEÑO FINAL'!F35</f>
        <v>3.413918796285464</v>
      </c>
      <c r="F59" s="172">
        <f>DISEÑO!D101</f>
        <v>5.666666666666667</v>
      </c>
      <c r="G59" s="172">
        <f>'DISEÑO POR SISMO'!D45</f>
        <v>3.2280308935492337</v>
      </c>
      <c r="H59" s="172">
        <f>'DISEÑO FINAL'!G35</f>
        <v>8.8946975602159011</v>
      </c>
      <c r="I59" s="169" t="str">
        <f t="shared" ref="I59:I90" si="0">IF(B59="","",$H$37)</f>
        <v>Geomalla</v>
      </c>
      <c r="J59" s="147" t="s">
        <v>298</v>
      </c>
    </row>
    <row r="60" spans="1:10" x14ac:dyDescent="0.25">
      <c r="A60" s="171">
        <f>'DISEÑO FINAL'!D36</f>
        <v>2</v>
      </c>
      <c r="B60" s="172">
        <f>'DISEÑO FINAL'!E36</f>
        <v>1</v>
      </c>
      <c r="C60" s="173">
        <f>DISEÑO!C67</f>
        <v>1.5761662348876782</v>
      </c>
      <c r="D60" s="172">
        <f>DISEÑO!D30</f>
        <v>1</v>
      </c>
      <c r="E60" s="172">
        <f>'DISEÑO FINAL'!F36</f>
        <v>2.5761662348876779</v>
      </c>
      <c r="F60" s="172">
        <f>DISEÑO!D102</f>
        <v>7.1666666666666679</v>
      </c>
      <c r="G60" s="172">
        <f>'DISEÑO POR SISMO'!D46</f>
        <v>2.0838408963271315</v>
      </c>
      <c r="H60" s="172">
        <f>'DISEÑO FINAL'!G36</f>
        <v>9.2505075629937998</v>
      </c>
      <c r="I60" s="169" t="str">
        <f t="shared" si="0"/>
        <v>Geomalla</v>
      </c>
      <c r="J60" s="147" t="s">
        <v>298</v>
      </c>
    </row>
    <row r="61" spans="1:10" x14ac:dyDescent="0.25">
      <c r="A61" s="171">
        <f>'DISEÑO FINAL'!D37</f>
        <v>3</v>
      </c>
      <c r="B61" s="172">
        <f>'DISEÑO FINAL'!E37</f>
        <v>1.5</v>
      </c>
      <c r="C61" s="173">
        <f>DISEÑO!C68</f>
        <v>1.2874911002928653</v>
      </c>
      <c r="D61" s="172">
        <f>DISEÑO!D31</f>
        <v>1</v>
      </c>
      <c r="E61" s="172">
        <f>'DISEÑO FINAL'!F37</f>
        <v>2.2874911002928653</v>
      </c>
      <c r="F61" s="172">
        <f>DISEÑO!D103</f>
        <v>8.6666666666666679</v>
      </c>
      <c r="G61" s="172">
        <f>'DISEÑO POR SISMO'!D47</f>
        <v>2.0838408963271315</v>
      </c>
      <c r="H61" s="172">
        <f>'DISEÑO FINAL'!G37</f>
        <v>10.7505075629938</v>
      </c>
      <c r="I61" s="169" t="str">
        <f t="shared" si="0"/>
        <v>Geomalla</v>
      </c>
      <c r="J61" s="147" t="s">
        <v>298</v>
      </c>
    </row>
    <row r="62" spans="1:10" x14ac:dyDescent="0.25">
      <c r="A62" s="171">
        <f>'DISEÑO FINAL'!D38</f>
        <v>4</v>
      </c>
      <c r="B62" s="172">
        <f>'DISEÑO FINAL'!E38</f>
        <v>2</v>
      </c>
      <c r="C62" s="173">
        <f>DISEÑO!C69</f>
        <v>0.99881596569805253</v>
      </c>
      <c r="D62" s="172">
        <f>DISEÑO!D32</f>
        <v>1</v>
      </c>
      <c r="E62" s="172">
        <f>'DISEÑO FINAL'!F38</f>
        <v>1.9988159656980526</v>
      </c>
      <c r="F62" s="172">
        <f>DISEÑO!D104</f>
        <v>10.166666666666668</v>
      </c>
      <c r="G62" s="172">
        <f>'DISEÑO POR SISMO'!D48</f>
        <v>2.0838408963271315</v>
      </c>
      <c r="H62" s="172">
        <f>'DISEÑO FINAL'!G38</f>
        <v>12.2505075629938</v>
      </c>
      <c r="I62" s="169" t="str">
        <f t="shared" si="0"/>
        <v>Geomalla</v>
      </c>
      <c r="J62" s="147" t="s">
        <v>298</v>
      </c>
    </row>
    <row r="63" spans="1:10" x14ac:dyDescent="0.25">
      <c r="A63" s="171">
        <f>'DISEÑO FINAL'!D39</f>
        <v>5</v>
      </c>
      <c r="B63" s="172">
        <f>'DISEÑO FINAL'!E39</f>
        <v>2.5</v>
      </c>
      <c r="C63" s="173">
        <f>DISEÑO!C70</f>
        <v>0.71014083110323967</v>
      </c>
      <c r="D63" s="172">
        <f>DISEÑO!D33</f>
        <v>1</v>
      </c>
      <c r="E63" s="172">
        <f>'DISEÑO FINAL'!F39</f>
        <v>1.7101408311032396</v>
      </c>
      <c r="F63" s="172">
        <f>DISEÑO!D105</f>
        <v>11.666666666666668</v>
      </c>
      <c r="G63" s="172">
        <f>'DISEÑO POR SISMO'!D49</f>
        <v>2.0838408963271315</v>
      </c>
      <c r="H63" s="172">
        <f>'DISEÑO FINAL'!G39</f>
        <v>13.7505075629938</v>
      </c>
      <c r="I63" s="169" t="str">
        <f t="shared" si="0"/>
        <v>Geomalla</v>
      </c>
      <c r="J63" s="147" t="s">
        <v>298</v>
      </c>
    </row>
    <row r="64" spans="1:10" x14ac:dyDescent="0.25">
      <c r="A64" s="171">
        <f>'DISEÑO FINAL'!D40</f>
        <v>6</v>
      </c>
      <c r="B64" s="172">
        <f>'DISEÑO FINAL'!E40</f>
        <v>3</v>
      </c>
      <c r="C64" s="173">
        <f>DISEÑO!C71</f>
        <v>0.42146569650842675</v>
      </c>
      <c r="D64" s="172">
        <f>DISEÑO!D34</f>
        <v>1</v>
      </c>
      <c r="E64" s="172">
        <f>'DISEÑO FINAL'!F40</f>
        <v>1.4214656965084267</v>
      </c>
      <c r="F64" s="172">
        <f>DISEÑO!D106</f>
        <v>13.166666666666668</v>
      </c>
      <c r="G64" s="172">
        <f>'DISEÑO POR SISMO'!D50</f>
        <v>2.0838408963271315</v>
      </c>
      <c r="H64" s="172">
        <f>'DISEÑO FINAL'!G40</f>
        <v>15.2505075629938</v>
      </c>
      <c r="I64" s="169" t="str">
        <f t="shared" si="0"/>
        <v>Geomalla</v>
      </c>
      <c r="J64" s="147" t="s">
        <v>298</v>
      </c>
    </row>
    <row r="65" spans="1:10" x14ac:dyDescent="0.25">
      <c r="A65" s="171">
        <f>'DISEÑO FINAL'!D41</f>
        <v>7</v>
      </c>
      <c r="B65" s="172">
        <f>'DISEÑO FINAL'!E41</f>
        <v>3.5</v>
      </c>
      <c r="C65" s="173">
        <f>DISEÑO!C72</f>
        <v>0.13279056191361391</v>
      </c>
      <c r="D65" s="172">
        <f>DISEÑO!D35</f>
        <v>1</v>
      </c>
      <c r="E65" s="172">
        <f>'DISEÑO FINAL'!F41</f>
        <v>1.1327905619136138</v>
      </c>
      <c r="F65" s="172">
        <f>DISEÑO!D107</f>
        <v>14.666666666666668</v>
      </c>
      <c r="G65" s="172">
        <f>'DISEÑO POR SISMO'!D51</f>
        <v>2.0838408963271315</v>
      </c>
      <c r="H65" s="172">
        <f>'DISEÑO FINAL'!G41</f>
        <v>16.7505075629938</v>
      </c>
      <c r="I65" s="169" t="str">
        <f t="shared" si="0"/>
        <v>Geomalla</v>
      </c>
      <c r="J65" s="147" t="s">
        <v>298</v>
      </c>
    </row>
    <row r="66" spans="1:10" x14ac:dyDescent="0.25">
      <c r="A66" s="171" t="str">
        <f>'DISEÑO FINAL'!D42</f>
        <v/>
      </c>
      <c r="B66" s="172" t="str">
        <f>'DISEÑO FINAL'!E42</f>
        <v/>
      </c>
      <c r="C66" s="173" t="str">
        <f>DISEÑO!C73</f>
        <v/>
      </c>
      <c r="D66" s="172" t="str">
        <f>DISEÑO!D36</f>
        <v/>
      </c>
      <c r="E66" s="172" t="str">
        <f>'DISEÑO FINAL'!F42</f>
        <v/>
      </c>
      <c r="F66" s="172" t="str">
        <f>DISEÑO!D108</f>
        <v/>
      </c>
      <c r="G66" s="172" t="str">
        <f>'DISEÑO POR SISMO'!D52</f>
        <v/>
      </c>
      <c r="H66" s="172" t="str">
        <f>'DISEÑO FINAL'!G42</f>
        <v/>
      </c>
      <c r="I66" s="169" t="str">
        <f t="shared" si="0"/>
        <v/>
      </c>
      <c r="J66" s="147" t="s">
        <v>298</v>
      </c>
    </row>
    <row r="67" spans="1:10" x14ac:dyDescent="0.25">
      <c r="A67" s="171" t="str">
        <f>'DISEÑO FINAL'!D43</f>
        <v/>
      </c>
      <c r="B67" s="172" t="str">
        <f>'DISEÑO FINAL'!E43</f>
        <v/>
      </c>
      <c r="C67" s="173" t="str">
        <f>DISEÑO!C74</f>
        <v/>
      </c>
      <c r="D67" s="172" t="str">
        <f>DISEÑO!D37</f>
        <v/>
      </c>
      <c r="E67" s="172" t="str">
        <f>'DISEÑO FINAL'!F43</f>
        <v/>
      </c>
      <c r="F67" s="172" t="str">
        <f>DISEÑO!D109</f>
        <v/>
      </c>
      <c r="G67" s="172" t="str">
        <f>'DISEÑO POR SISMO'!D53</f>
        <v/>
      </c>
      <c r="H67" s="172" t="str">
        <f>'DISEÑO FINAL'!G43</f>
        <v/>
      </c>
      <c r="I67" s="169" t="str">
        <f t="shared" si="0"/>
        <v/>
      </c>
      <c r="J67" s="147" t="s">
        <v>298</v>
      </c>
    </row>
    <row r="68" spans="1:10" x14ac:dyDescent="0.25">
      <c r="A68" s="186" t="str">
        <f>'DISEÑO FINAL'!D44</f>
        <v/>
      </c>
      <c r="B68" s="169" t="str">
        <f>'DISEÑO FINAL'!E44</f>
        <v/>
      </c>
      <c r="C68" s="187" t="str">
        <f>DISEÑO!C75</f>
        <v/>
      </c>
      <c r="D68" s="169" t="str">
        <f>DISEÑO!D38</f>
        <v/>
      </c>
      <c r="E68" s="169" t="str">
        <f>'DISEÑO FINAL'!F44</f>
        <v/>
      </c>
      <c r="F68" s="169" t="str">
        <f>DISEÑO!D110</f>
        <v/>
      </c>
      <c r="G68" s="169" t="str">
        <f>'DISEÑO POR SISMO'!D54</f>
        <v/>
      </c>
      <c r="H68" s="169" t="str">
        <f>'DISEÑO FINAL'!G44</f>
        <v/>
      </c>
      <c r="I68" s="169" t="str">
        <f t="shared" si="0"/>
        <v/>
      </c>
      <c r="J68" s="147" t="s">
        <v>297</v>
      </c>
    </row>
    <row r="69" spans="1:10" x14ac:dyDescent="0.25">
      <c r="A69" s="186" t="str">
        <f>'DISEÑO FINAL'!D45</f>
        <v/>
      </c>
      <c r="B69" s="169" t="str">
        <f>'DISEÑO FINAL'!E45</f>
        <v/>
      </c>
      <c r="C69" s="187" t="str">
        <f>DISEÑO!C76</f>
        <v/>
      </c>
      <c r="D69" s="169" t="str">
        <f>DISEÑO!D39</f>
        <v/>
      </c>
      <c r="E69" s="169" t="str">
        <f>'DISEÑO FINAL'!F45</f>
        <v/>
      </c>
      <c r="F69" s="169" t="str">
        <f>DISEÑO!D111</f>
        <v/>
      </c>
      <c r="G69" s="169" t="str">
        <f>'DISEÑO POR SISMO'!D55</f>
        <v/>
      </c>
      <c r="H69" s="169" t="str">
        <f>'DISEÑO FINAL'!G45</f>
        <v/>
      </c>
      <c r="I69" s="169" t="str">
        <f t="shared" si="0"/>
        <v/>
      </c>
      <c r="J69" s="147" t="s">
        <v>297</v>
      </c>
    </row>
    <row r="70" spans="1:10" x14ac:dyDescent="0.25">
      <c r="A70" s="186" t="str">
        <f>'DISEÑO FINAL'!D46</f>
        <v/>
      </c>
      <c r="B70" s="169" t="str">
        <f>'DISEÑO FINAL'!E46</f>
        <v/>
      </c>
      <c r="C70" s="187" t="str">
        <f>DISEÑO!C77</f>
        <v/>
      </c>
      <c r="D70" s="169" t="str">
        <f>DISEÑO!D40</f>
        <v/>
      </c>
      <c r="E70" s="169" t="str">
        <f>'DISEÑO FINAL'!F46</f>
        <v/>
      </c>
      <c r="F70" s="169" t="str">
        <f>DISEÑO!D112</f>
        <v/>
      </c>
      <c r="G70" s="169" t="str">
        <f>'DISEÑO POR SISMO'!D56</f>
        <v/>
      </c>
      <c r="H70" s="169" t="str">
        <f>'DISEÑO FINAL'!G46</f>
        <v/>
      </c>
      <c r="I70" s="169" t="str">
        <f t="shared" si="0"/>
        <v/>
      </c>
      <c r="J70" s="147" t="s">
        <v>297</v>
      </c>
    </row>
    <row r="71" spans="1:10" x14ac:dyDescent="0.25">
      <c r="A71" s="186" t="str">
        <f>'DISEÑO FINAL'!D47</f>
        <v/>
      </c>
      <c r="B71" s="169" t="str">
        <f>'DISEÑO FINAL'!E47</f>
        <v/>
      </c>
      <c r="C71" s="187" t="str">
        <f>DISEÑO!C78</f>
        <v/>
      </c>
      <c r="D71" s="169" t="str">
        <f>DISEÑO!D41</f>
        <v/>
      </c>
      <c r="E71" s="169" t="str">
        <f>'DISEÑO FINAL'!F47</f>
        <v/>
      </c>
      <c r="F71" s="169" t="str">
        <f>DISEÑO!D113</f>
        <v/>
      </c>
      <c r="G71" s="169" t="str">
        <f>'DISEÑO POR SISMO'!D57</f>
        <v/>
      </c>
      <c r="H71" s="169" t="str">
        <f>'DISEÑO FINAL'!G47</f>
        <v/>
      </c>
      <c r="I71" s="169" t="str">
        <f t="shared" si="0"/>
        <v/>
      </c>
      <c r="J71" s="147" t="s">
        <v>297</v>
      </c>
    </row>
    <row r="72" spans="1:10" x14ac:dyDescent="0.25">
      <c r="A72" s="186" t="str">
        <f>'DISEÑO FINAL'!D48</f>
        <v/>
      </c>
      <c r="B72" s="169" t="str">
        <f>'DISEÑO FINAL'!E48</f>
        <v/>
      </c>
      <c r="C72" s="187" t="str">
        <f>DISEÑO!C79</f>
        <v/>
      </c>
      <c r="D72" s="169" t="str">
        <f>DISEÑO!D42</f>
        <v/>
      </c>
      <c r="E72" s="169" t="str">
        <f>'DISEÑO FINAL'!F48</f>
        <v/>
      </c>
      <c r="F72" s="169" t="str">
        <f>DISEÑO!D114</f>
        <v/>
      </c>
      <c r="G72" s="169" t="str">
        <f>'DISEÑO POR SISMO'!D58</f>
        <v/>
      </c>
      <c r="H72" s="169" t="str">
        <f>'DISEÑO FINAL'!G48</f>
        <v/>
      </c>
      <c r="I72" s="169" t="str">
        <f t="shared" si="0"/>
        <v/>
      </c>
      <c r="J72" s="147" t="s">
        <v>297</v>
      </c>
    </row>
    <row r="73" spans="1:10" x14ac:dyDescent="0.25">
      <c r="A73" s="186" t="str">
        <f>'DISEÑO FINAL'!D49</f>
        <v/>
      </c>
      <c r="B73" s="169" t="str">
        <f>'DISEÑO FINAL'!E49</f>
        <v/>
      </c>
      <c r="C73" s="187" t="str">
        <f>DISEÑO!C80</f>
        <v/>
      </c>
      <c r="D73" s="169" t="str">
        <f>DISEÑO!D43</f>
        <v/>
      </c>
      <c r="E73" s="169" t="str">
        <f>'DISEÑO FINAL'!F49</f>
        <v/>
      </c>
      <c r="F73" s="169" t="str">
        <f>DISEÑO!D115</f>
        <v/>
      </c>
      <c r="G73" s="169" t="str">
        <f>'DISEÑO POR SISMO'!D59</f>
        <v/>
      </c>
      <c r="H73" s="169" t="str">
        <f>'DISEÑO FINAL'!G49</f>
        <v/>
      </c>
      <c r="I73" s="169" t="str">
        <f t="shared" si="0"/>
        <v/>
      </c>
      <c r="J73" s="147" t="s">
        <v>297</v>
      </c>
    </row>
    <row r="74" spans="1:10" x14ac:dyDescent="0.25">
      <c r="A74" s="186" t="str">
        <f>'DISEÑO FINAL'!D50</f>
        <v/>
      </c>
      <c r="B74" s="169" t="str">
        <f>'DISEÑO FINAL'!E50</f>
        <v/>
      </c>
      <c r="C74" s="187" t="str">
        <f>DISEÑO!C81</f>
        <v/>
      </c>
      <c r="D74" s="169" t="str">
        <f>DISEÑO!D44</f>
        <v/>
      </c>
      <c r="E74" s="169" t="str">
        <f>'DISEÑO FINAL'!F50</f>
        <v/>
      </c>
      <c r="F74" s="169" t="str">
        <f>DISEÑO!D116</f>
        <v/>
      </c>
      <c r="G74" s="169" t="str">
        <f>'DISEÑO POR SISMO'!D60</f>
        <v/>
      </c>
      <c r="H74" s="169" t="str">
        <f>'DISEÑO FINAL'!G50</f>
        <v/>
      </c>
      <c r="I74" s="169" t="str">
        <f t="shared" si="0"/>
        <v/>
      </c>
      <c r="J74" s="147" t="s">
        <v>297</v>
      </c>
    </row>
    <row r="75" spans="1:10" x14ac:dyDescent="0.25">
      <c r="A75" s="186" t="str">
        <f>'DISEÑO FINAL'!D51</f>
        <v/>
      </c>
      <c r="B75" s="169" t="str">
        <f>'DISEÑO FINAL'!E51</f>
        <v/>
      </c>
      <c r="C75" s="187" t="str">
        <f>DISEÑO!C82</f>
        <v/>
      </c>
      <c r="D75" s="169" t="str">
        <f>DISEÑO!D45</f>
        <v/>
      </c>
      <c r="E75" s="169" t="str">
        <f>'DISEÑO FINAL'!F51</f>
        <v/>
      </c>
      <c r="F75" s="169" t="str">
        <f>DISEÑO!D117</f>
        <v/>
      </c>
      <c r="G75" s="169" t="str">
        <f>'DISEÑO POR SISMO'!D61</f>
        <v/>
      </c>
      <c r="H75" s="169" t="str">
        <f>'DISEÑO FINAL'!G51</f>
        <v/>
      </c>
      <c r="I75" s="169" t="str">
        <f t="shared" si="0"/>
        <v/>
      </c>
      <c r="J75" s="147" t="s">
        <v>296</v>
      </c>
    </row>
    <row r="76" spans="1:10" x14ac:dyDescent="0.25">
      <c r="A76" s="186" t="str">
        <f>'DISEÑO FINAL'!D52</f>
        <v/>
      </c>
      <c r="B76" s="169" t="str">
        <f>'DISEÑO FINAL'!E52</f>
        <v/>
      </c>
      <c r="C76" s="187" t="str">
        <f>DISEÑO!C83</f>
        <v/>
      </c>
      <c r="D76" s="169" t="str">
        <f>DISEÑO!D46</f>
        <v/>
      </c>
      <c r="E76" s="169" t="str">
        <f>'DISEÑO FINAL'!F52</f>
        <v/>
      </c>
      <c r="F76" s="169" t="str">
        <f>DISEÑO!D118</f>
        <v/>
      </c>
      <c r="G76" s="169" t="str">
        <f>'DISEÑO POR SISMO'!D62</f>
        <v/>
      </c>
      <c r="H76" s="169" t="str">
        <f>'DISEÑO FINAL'!G52</f>
        <v/>
      </c>
      <c r="I76" s="169" t="str">
        <f t="shared" si="0"/>
        <v/>
      </c>
      <c r="J76" s="147" t="s">
        <v>296</v>
      </c>
    </row>
    <row r="77" spans="1:10" x14ac:dyDescent="0.25">
      <c r="A77" s="186" t="str">
        <f>'DISEÑO FINAL'!D53</f>
        <v/>
      </c>
      <c r="B77" s="169" t="str">
        <f>'DISEÑO FINAL'!E53</f>
        <v/>
      </c>
      <c r="C77" s="187" t="str">
        <f>DISEÑO!C84</f>
        <v/>
      </c>
      <c r="D77" s="169" t="str">
        <f>DISEÑO!D47</f>
        <v/>
      </c>
      <c r="E77" s="169" t="str">
        <f>'DISEÑO FINAL'!F53</f>
        <v/>
      </c>
      <c r="F77" s="169" t="str">
        <f>DISEÑO!D119</f>
        <v/>
      </c>
      <c r="G77" s="169" t="str">
        <f>'DISEÑO POR SISMO'!D63</f>
        <v/>
      </c>
      <c r="H77" s="169" t="str">
        <f>'DISEÑO FINAL'!G53</f>
        <v/>
      </c>
      <c r="I77" s="169" t="str">
        <f t="shared" si="0"/>
        <v/>
      </c>
      <c r="J77" s="147" t="s">
        <v>296</v>
      </c>
    </row>
    <row r="78" spans="1:10" x14ac:dyDescent="0.25">
      <c r="A78" s="186" t="str">
        <f>'DISEÑO FINAL'!D54</f>
        <v/>
      </c>
      <c r="B78" s="169" t="str">
        <f>'DISEÑO FINAL'!E54</f>
        <v/>
      </c>
      <c r="C78" s="187" t="str">
        <f>DISEÑO!C85</f>
        <v/>
      </c>
      <c r="D78" s="169" t="str">
        <f>DISEÑO!D48</f>
        <v/>
      </c>
      <c r="E78" s="169" t="str">
        <f>'DISEÑO FINAL'!F54</f>
        <v/>
      </c>
      <c r="F78" s="169" t="str">
        <f>DISEÑO!D120</f>
        <v/>
      </c>
      <c r="G78" s="169" t="str">
        <f>'DISEÑO POR SISMO'!D64</f>
        <v/>
      </c>
      <c r="H78" s="169" t="str">
        <f>'DISEÑO FINAL'!G54</f>
        <v/>
      </c>
      <c r="I78" s="169" t="str">
        <f t="shared" si="0"/>
        <v/>
      </c>
      <c r="J78" s="147" t="s">
        <v>296</v>
      </c>
    </row>
    <row r="79" spans="1:10" x14ac:dyDescent="0.25">
      <c r="A79" s="186" t="str">
        <f>'DISEÑO FINAL'!D55</f>
        <v/>
      </c>
      <c r="B79" s="169" t="str">
        <f>'DISEÑO FINAL'!E55</f>
        <v/>
      </c>
      <c r="C79" s="187" t="str">
        <f>DISEÑO!C86</f>
        <v/>
      </c>
      <c r="D79" s="169" t="str">
        <f>DISEÑO!D49</f>
        <v/>
      </c>
      <c r="E79" s="169" t="str">
        <f>'DISEÑO FINAL'!F55</f>
        <v/>
      </c>
      <c r="F79" s="169" t="str">
        <f>DISEÑO!D121</f>
        <v/>
      </c>
      <c r="G79" s="169" t="str">
        <f>'DISEÑO POR SISMO'!D65</f>
        <v/>
      </c>
      <c r="H79" s="169" t="str">
        <f>'DISEÑO FINAL'!G55</f>
        <v/>
      </c>
      <c r="I79" s="169" t="str">
        <f t="shared" si="0"/>
        <v/>
      </c>
      <c r="J79" s="147" t="s">
        <v>296</v>
      </c>
    </row>
    <row r="80" spans="1:10" x14ac:dyDescent="0.25">
      <c r="A80" s="186" t="str">
        <f>'DISEÑO FINAL'!D56</f>
        <v/>
      </c>
      <c r="B80" s="169" t="str">
        <f>'DISEÑO FINAL'!E56</f>
        <v/>
      </c>
      <c r="C80" s="187" t="str">
        <f>DISEÑO!C87</f>
        <v/>
      </c>
      <c r="D80" s="169" t="str">
        <f>DISEÑO!D50</f>
        <v/>
      </c>
      <c r="E80" s="169" t="str">
        <f>'DISEÑO FINAL'!F56</f>
        <v/>
      </c>
      <c r="F80" s="169" t="str">
        <f>DISEÑO!D122</f>
        <v/>
      </c>
      <c r="G80" s="169" t="str">
        <f>'DISEÑO POR SISMO'!D66</f>
        <v/>
      </c>
      <c r="H80" s="169" t="str">
        <f>'DISEÑO FINAL'!G56</f>
        <v/>
      </c>
      <c r="I80" s="169" t="str">
        <f t="shared" si="0"/>
        <v/>
      </c>
      <c r="J80" s="147" t="s">
        <v>296</v>
      </c>
    </row>
    <row r="81" spans="1:10" x14ac:dyDescent="0.25">
      <c r="A81" s="186" t="str">
        <f>'DISEÑO FINAL'!D57</f>
        <v/>
      </c>
      <c r="B81" s="169" t="str">
        <f>'DISEÑO FINAL'!E57</f>
        <v/>
      </c>
      <c r="C81" s="187" t="str">
        <f>DISEÑO!C88</f>
        <v/>
      </c>
      <c r="D81" s="169" t="str">
        <f>DISEÑO!D51</f>
        <v/>
      </c>
      <c r="E81" s="169" t="str">
        <f>'DISEÑO FINAL'!F57</f>
        <v/>
      </c>
      <c r="F81" s="169" t="str">
        <f>DISEÑO!D123</f>
        <v/>
      </c>
      <c r="G81" s="169" t="str">
        <f>'DISEÑO POR SISMO'!D67</f>
        <v/>
      </c>
      <c r="H81" s="169" t="str">
        <f>'DISEÑO FINAL'!G57</f>
        <v/>
      </c>
      <c r="I81" s="169" t="str">
        <f t="shared" si="0"/>
        <v/>
      </c>
      <c r="J81" s="147" t="s">
        <v>296</v>
      </c>
    </row>
    <row r="82" spans="1:10" x14ac:dyDescent="0.25">
      <c r="A82" s="186" t="str">
        <f>'DISEÑO FINAL'!D58</f>
        <v/>
      </c>
      <c r="B82" s="169" t="str">
        <f>'DISEÑO FINAL'!E58</f>
        <v/>
      </c>
      <c r="C82" s="187" t="str">
        <f>DISEÑO!C89</f>
        <v/>
      </c>
      <c r="D82" s="169" t="str">
        <f>DISEÑO!D52</f>
        <v/>
      </c>
      <c r="E82" s="169" t="str">
        <f>'DISEÑO FINAL'!F58</f>
        <v/>
      </c>
      <c r="F82" s="169" t="str">
        <f>DISEÑO!D124</f>
        <v/>
      </c>
      <c r="G82" s="169" t="str">
        <f>'DISEÑO POR SISMO'!D68</f>
        <v/>
      </c>
      <c r="H82" s="169" t="str">
        <f>'DISEÑO FINAL'!G58</f>
        <v/>
      </c>
      <c r="I82" s="169" t="str">
        <f t="shared" si="0"/>
        <v/>
      </c>
      <c r="J82" s="147" t="s">
        <v>296</v>
      </c>
    </row>
    <row r="83" spans="1:10" x14ac:dyDescent="0.25">
      <c r="A83" s="186" t="str">
        <f>'DISEÑO FINAL'!D59</f>
        <v/>
      </c>
      <c r="B83" s="169" t="str">
        <f>'DISEÑO FINAL'!E59</f>
        <v/>
      </c>
      <c r="C83" s="187" t="str">
        <f>DISEÑO!C90</f>
        <v/>
      </c>
      <c r="D83" s="169" t="str">
        <f>DISEÑO!D53</f>
        <v/>
      </c>
      <c r="E83" s="169" t="str">
        <f>'DISEÑO FINAL'!F59</f>
        <v/>
      </c>
      <c r="F83" s="169" t="str">
        <f>DISEÑO!D125</f>
        <v/>
      </c>
      <c r="G83" s="169" t="str">
        <f>'DISEÑO POR SISMO'!D69</f>
        <v/>
      </c>
      <c r="H83" s="169" t="str">
        <f>'DISEÑO FINAL'!G59</f>
        <v/>
      </c>
      <c r="I83" s="169" t="str">
        <f t="shared" si="0"/>
        <v/>
      </c>
      <c r="J83" s="147" t="s">
        <v>296</v>
      </c>
    </row>
    <row r="84" spans="1:10" x14ac:dyDescent="0.25">
      <c r="A84" s="186" t="str">
        <f>'DISEÑO FINAL'!D60</f>
        <v/>
      </c>
      <c r="B84" s="169" t="str">
        <f>'DISEÑO FINAL'!E60</f>
        <v/>
      </c>
      <c r="C84" s="187" t="str">
        <f>DISEÑO!C91</f>
        <v/>
      </c>
      <c r="D84" s="169" t="str">
        <f>DISEÑO!D54</f>
        <v/>
      </c>
      <c r="E84" s="169" t="str">
        <f>'DISEÑO FINAL'!F60</f>
        <v/>
      </c>
      <c r="F84" s="169" t="str">
        <f>DISEÑO!D126</f>
        <v/>
      </c>
      <c r="G84" s="169" t="str">
        <f>'DISEÑO POR SISMO'!D70</f>
        <v/>
      </c>
      <c r="H84" s="169" t="str">
        <f>'DISEÑO FINAL'!G60</f>
        <v/>
      </c>
      <c r="I84" s="169" t="str">
        <f t="shared" si="0"/>
        <v/>
      </c>
      <c r="J84" s="147" t="s">
        <v>296</v>
      </c>
    </row>
    <row r="85" spans="1:10" x14ac:dyDescent="0.25">
      <c r="A85" s="186" t="str">
        <f>'DISEÑO FINAL'!D61</f>
        <v/>
      </c>
      <c r="B85" s="169" t="str">
        <f>'DISEÑO FINAL'!E61</f>
        <v/>
      </c>
      <c r="C85" s="187" t="str">
        <f>DISEÑO!C92</f>
        <v/>
      </c>
      <c r="D85" s="169" t="str">
        <f>DISEÑO!D55</f>
        <v/>
      </c>
      <c r="E85" s="169" t="str">
        <f>'DISEÑO FINAL'!F61</f>
        <v/>
      </c>
      <c r="F85" s="169" t="str">
        <f>DISEÑO!D127</f>
        <v/>
      </c>
      <c r="G85" s="169" t="str">
        <f>'DISEÑO POR SISMO'!D71</f>
        <v/>
      </c>
      <c r="H85" s="169" t="str">
        <f>'DISEÑO FINAL'!G61</f>
        <v/>
      </c>
      <c r="I85" s="169" t="str">
        <f t="shared" si="0"/>
        <v/>
      </c>
      <c r="J85" s="147" t="s">
        <v>296</v>
      </c>
    </row>
    <row r="86" spans="1:10" x14ac:dyDescent="0.25">
      <c r="A86" s="186" t="str">
        <f>'DISEÑO FINAL'!D62</f>
        <v/>
      </c>
      <c r="B86" s="169" t="str">
        <f>'DISEÑO FINAL'!E62</f>
        <v/>
      </c>
      <c r="C86" s="187" t="str">
        <f>DISEÑO!C93</f>
        <v/>
      </c>
      <c r="D86" s="169" t="str">
        <f>DISEÑO!D56</f>
        <v/>
      </c>
      <c r="E86" s="169" t="str">
        <f>'DISEÑO FINAL'!F62</f>
        <v/>
      </c>
      <c r="F86" s="169" t="str">
        <f>DISEÑO!D128</f>
        <v/>
      </c>
      <c r="G86" s="169" t="str">
        <f>'DISEÑO POR SISMO'!D72</f>
        <v/>
      </c>
      <c r="H86" s="169" t="str">
        <f>'DISEÑO FINAL'!G62</f>
        <v/>
      </c>
      <c r="I86" s="169" t="str">
        <f t="shared" si="0"/>
        <v/>
      </c>
      <c r="J86" s="147" t="s">
        <v>296</v>
      </c>
    </row>
    <row r="87" spans="1:10" x14ac:dyDescent="0.25">
      <c r="A87" s="186" t="str">
        <f>'DISEÑO FINAL'!D63</f>
        <v/>
      </c>
      <c r="B87" s="169" t="str">
        <f>'DISEÑO FINAL'!E63</f>
        <v/>
      </c>
      <c r="C87" s="187" t="str">
        <f>DISEÑO!C94</f>
        <v/>
      </c>
      <c r="D87" s="169" t="str">
        <f>DISEÑO!D57</f>
        <v/>
      </c>
      <c r="E87" s="169" t="str">
        <f>'DISEÑO FINAL'!F63</f>
        <v/>
      </c>
      <c r="F87" s="169" t="str">
        <f>DISEÑO!D129</f>
        <v/>
      </c>
      <c r="G87" s="169" t="str">
        <f>'DISEÑO POR SISMO'!D73</f>
        <v/>
      </c>
      <c r="H87" s="169" t="str">
        <f>'DISEÑO FINAL'!G63</f>
        <v/>
      </c>
      <c r="I87" s="169" t="str">
        <f t="shared" si="0"/>
        <v/>
      </c>
      <c r="J87" s="147" t="s">
        <v>296</v>
      </c>
    </row>
    <row r="88" spans="1:10" x14ac:dyDescent="0.25">
      <c r="A88" s="186" t="str">
        <f>'DISEÑO FINAL'!D64</f>
        <v/>
      </c>
      <c r="B88" s="169" t="str">
        <f>'DISEÑO FINAL'!E64</f>
        <v/>
      </c>
      <c r="C88" s="187" t="str">
        <f>DISEÑO!C95</f>
        <v/>
      </c>
      <c r="D88" s="169" t="str">
        <f>DISEÑO!D58</f>
        <v/>
      </c>
      <c r="E88" s="169" t="str">
        <f>'DISEÑO FINAL'!F64</f>
        <v/>
      </c>
      <c r="F88" s="169" t="str">
        <f>DISEÑO!D130</f>
        <v/>
      </c>
      <c r="G88" s="169" t="str">
        <f>'DISEÑO POR SISMO'!D74</f>
        <v/>
      </c>
      <c r="H88" s="169" t="str">
        <f>'DISEÑO FINAL'!G64</f>
        <v/>
      </c>
      <c r="I88" s="169" t="str">
        <f t="shared" si="0"/>
        <v/>
      </c>
      <c r="J88" s="147" t="s">
        <v>296</v>
      </c>
    </row>
    <row r="89" spans="1:10" x14ac:dyDescent="0.25">
      <c r="A89" s="186" t="str">
        <f>'DISEÑO FINAL'!D65</f>
        <v/>
      </c>
      <c r="B89" s="169" t="str">
        <f>'DISEÑO FINAL'!E65</f>
        <v/>
      </c>
      <c r="C89" s="187" t="str">
        <f>DISEÑO!G66</f>
        <v/>
      </c>
      <c r="D89" s="169" t="str">
        <f>DISEÑO!I29</f>
        <v/>
      </c>
      <c r="E89" s="169" t="str">
        <f>'DISEÑO FINAL'!F65</f>
        <v/>
      </c>
      <c r="F89" s="169" t="str">
        <f>DISEÑO!I101</f>
        <v/>
      </c>
      <c r="G89" s="169" t="str">
        <f>'DISEÑO POR SISMO'!J45</f>
        <v/>
      </c>
      <c r="H89" s="169" t="str">
        <f>'DISEÑO FINAL'!G65</f>
        <v/>
      </c>
      <c r="I89" s="169" t="str">
        <f t="shared" si="0"/>
        <v/>
      </c>
      <c r="J89" s="147" t="s">
        <v>296</v>
      </c>
    </row>
    <row r="90" spans="1:10" x14ac:dyDescent="0.25">
      <c r="A90" s="186" t="str">
        <f>'DISEÑO FINAL'!D66</f>
        <v/>
      </c>
      <c r="B90" s="169" t="str">
        <f>'DISEÑO FINAL'!E66</f>
        <v/>
      </c>
      <c r="C90" s="187" t="str">
        <f>DISEÑO!G67</f>
        <v/>
      </c>
      <c r="D90" s="169" t="str">
        <f>DISEÑO!I30</f>
        <v/>
      </c>
      <c r="E90" s="169" t="str">
        <f>'DISEÑO FINAL'!F66</f>
        <v/>
      </c>
      <c r="F90" s="169" t="str">
        <f>DISEÑO!I102</f>
        <v/>
      </c>
      <c r="G90" s="169" t="str">
        <f>'DISEÑO POR SISMO'!J46</f>
        <v/>
      </c>
      <c r="H90" s="169" t="str">
        <f>'DISEÑO FINAL'!G66</f>
        <v/>
      </c>
      <c r="I90" s="169" t="str">
        <f t="shared" si="0"/>
        <v/>
      </c>
      <c r="J90" s="147" t="s">
        <v>296</v>
      </c>
    </row>
    <row r="91" spans="1:10" x14ac:dyDescent="0.25">
      <c r="A91" s="186" t="str">
        <f>'DISEÑO FINAL'!D67</f>
        <v/>
      </c>
      <c r="B91" s="169" t="str">
        <f>'DISEÑO FINAL'!E67</f>
        <v/>
      </c>
      <c r="C91" s="187" t="str">
        <f>DISEÑO!G68</f>
        <v/>
      </c>
      <c r="D91" s="169" t="str">
        <f>DISEÑO!I31</f>
        <v/>
      </c>
      <c r="E91" s="169" t="str">
        <f>'DISEÑO FINAL'!F67</f>
        <v/>
      </c>
      <c r="F91" s="169" t="str">
        <f>DISEÑO!I103</f>
        <v/>
      </c>
      <c r="G91" s="169" t="str">
        <f>'DISEÑO POR SISMO'!J47</f>
        <v/>
      </c>
      <c r="H91" s="169" t="str">
        <f>'DISEÑO FINAL'!G67</f>
        <v/>
      </c>
      <c r="I91" s="169" t="str">
        <f t="shared" ref="I91:I122" si="1">IF(B91="","",$H$37)</f>
        <v/>
      </c>
      <c r="J91" s="147" t="s">
        <v>296</v>
      </c>
    </row>
    <row r="92" spans="1:10" x14ac:dyDescent="0.25">
      <c r="A92" s="186" t="str">
        <f>'DISEÑO FINAL'!D68</f>
        <v/>
      </c>
      <c r="B92" s="169" t="str">
        <f>'DISEÑO FINAL'!E68</f>
        <v/>
      </c>
      <c r="C92" s="187" t="str">
        <f>DISEÑO!G69</f>
        <v/>
      </c>
      <c r="D92" s="169" t="str">
        <f>DISEÑO!I32</f>
        <v/>
      </c>
      <c r="E92" s="169" t="str">
        <f>'DISEÑO FINAL'!F68</f>
        <v/>
      </c>
      <c r="F92" s="169" t="str">
        <f>DISEÑO!I104</f>
        <v/>
      </c>
      <c r="G92" s="169" t="str">
        <f>'DISEÑO POR SISMO'!J48</f>
        <v/>
      </c>
      <c r="H92" s="169" t="str">
        <f>'DISEÑO FINAL'!G68</f>
        <v/>
      </c>
      <c r="I92" s="169" t="str">
        <f t="shared" si="1"/>
        <v/>
      </c>
      <c r="J92" s="147" t="s">
        <v>296</v>
      </c>
    </row>
    <row r="93" spans="1:10" x14ac:dyDescent="0.25">
      <c r="A93" s="186" t="str">
        <f>'DISEÑO FINAL'!D69</f>
        <v/>
      </c>
      <c r="B93" s="169" t="str">
        <f>'DISEÑO FINAL'!E69</f>
        <v/>
      </c>
      <c r="C93" s="187" t="str">
        <f>DISEÑO!G70</f>
        <v/>
      </c>
      <c r="D93" s="169" t="str">
        <f>DISEÑO!I33</f>
        <v/>
      </c>
      <c r="E93" s="169" t="str">
        <f>'DISEÑO FINAL'!F69</f>
        <v/>
      </c>
      <c r="F93" s="169" t="str">
        <f>DISEÑO!I105</f>
        <v/>
      </c>
      <c r="G93" s="169" t="str">
        <f>'DISEÑO POR SISMO'!J49</f>
        <v/>
      </c>
      <c r="H93" s="169" t="str">
        <f>'DISEÑO FINAL'!G69</f>
        <v/>
      </c>
      <c r="I93" s="169" t="str">
        <f t="shared" si="1"/>
        <v/>
      </c>
      <c r="J93" s="147" t="s">
        <v>296</v>
      </c>
    </row>
    <row r="94" spans="1:10" x14ac:dyDescent="0.25">
      <c r="A94" s="186" t="str">
        <f>'DISEÑO FINAL'!D70</f>
        <v/>
      </c>
      <c r="B94" s="169" t="str">
        <f>'DISEÑO FINAL'!E70</f>
        <v/>
      </c>
      <c r="C94" s="187" t="str">
        <f>DISEÑO!G71</f>
        <v/>
      </c>
      <c r="D94" s="169" t="str">
        <f>DISEÑO!I34</f>
        <v/>
      </c>
      <c r="E94" s="169" t="str">
        <f>'DISEÑO FINAL'!F70</f>
        <v/>
      </c>
      <c r="F94" s="169" t="str">
        <f>DISEÑO!I106</f>
        <v/>
      </c>
      <c r="G94" s="169" t="str">
        <f>'DISEÑO POR SISMO'!J50</f>
        <v/>
      </c>
      <c r="H94" s="169" t="str">
        <f>'DISEÑO FINAL'!G70</f>
        <v/>
      </c>
      <c r="I94" s="169" t="str">
        <f t="shared" si="1"/>
        <v/>
      </c>
      <c r="J94" s="147" t="s">
        <v>296</v>
      </c>
    </row>
    <row r="95" spans="1:10" x14ac:dyDescent="0.25">
      <c r="A95" s="186" t="str">
        <f>'DISEÑO FINAL'!D71</f>
        <v/>
      </c>
      <c r="B95" s="169" t="str">
        <f>'DISEÑO FINAL'!E71</f>
        <v/>
      </c>
      <c r="C95" s="187" t="str">
        <f>DISEÑO!G72</f>
        <v/>
      </c>
      <c r="D95" s="169" t="str">
        <f>DISEÑO!I35</f>
        <v/>
      </c>
      <c r="E95" s="169" t="str">
        <f>'DISEÑO FINAL'!F71</f>
        <v/>
      </c>
      <c r="F95" s="169" t="str">
        <f>DISEÑO!I107</f>
        <v/>
      </c>
      <c r="G95" s="169" t="str">
        <f>'DISEÑO POR SISMO'!J51</f>
        <v/>
      </c>
      <c r="H95" s="169" t="str">
        <f>'DISEÑO FINAL'!G71</f>
        <v/>
      </c>
      <c r="I95" s="169" t="str">
        <f t="shared" si="1"/>
        <v/>
      </c>
      <c r="J95" s="147" t="s">
        <v>296</v>
      </c>
    </row>
    <row r="96" spans="1:10" x14ac:dyDescent="0.25">
      <c r="A96" s="186" t="str">
        <f>'DISEÑO FINAL'!D72</f>
        <v/>
      </c>
      <c r="B96" s="169" t="str">
        <f>'DISEÑO FINAL'!E72</f>
        <v/>
      </c>
      <c r="C96" s="187" t="str">
        <f>DISEÑO!G73</f>
        <v/>
      </c>
      <c r="D96" s="169" t="str">
        <f>DISEÑO!I36</f>
        <v/>
      </c>
      <c r="E96" s="169" t="str">
        <f>'DISEÑO FINAL'!F72</f>
        <v/>
      </c>
      <c r="F96" s="169" t="str">
        <f>DISEÑO!I108</f>
        <v/>
      </c>
      <c r="G96" s="169" t="str">
        <f>'DISEÑO POR SISMO'!J52</f>
        <v/>
      </c>
      <c r="H96" s="169" t="str">
        <f>'DISEÑO FINAL'!G72</f>
        <v/>
      </c>
      <c r="I96" s="169" t="str">
        <f t="shared" si="1"/>
        <v/>
      </c>
      <c r="J96" s="147" t="s">
        <v>296</v>
      </c>
    </row>
    <row r="97" spans="1:10" x14ac:dyDescent="0.25">
      <c r="A97" s="186" t="str">
        <f>'DISEÑO FINAL'!D73</f>
        <v/>
      </c>
      <c r="B97" s="169" t="str">
        <f>'DISEÑO FINAL'!E73</f>
        <v/>
      </c>
      <c r="C97" s="187" t="str">
        <f>DISEÑO!G74</f>
        <v/>
      </c>
      <c r="D97" s="169" t="str">
        <f>DISEÑO!I37</f>
        <v/>
      </c>
      <c r="E97" s="169" t="str">
        <f>'DISEÑO FINAL'!F73</f>
        <v/>
      </c>
      <c r="F97" s="169" t="str">
        <f>DISEÑO!I109</f>
        <v/>
      </c>
      <c r="G97" s="169" t="str">
        <f>'DISEÑO POR SISMO'!J53</f>
        <v/>
      </c>
      <c r="H97" s="169" t="str">
        <f>'DISEÑO FINAL'!G73</f>
        <v/>
      </c>
      <c r="I97" s="169" t="str">
        <f t="shared" si="1"/>
        <v/>
      </c>
      <c r="J97" s="147" t="s">
        <v>296</v>
      </c>
    </row>
    <row r="98" spans="1:10" x14ac:dyDescent="0.25">
      <c r="A98" s="186" t="str">
        <f>'DISEÑO FINAL'!D74</f>
        <v/>
      </c>
      <c r="B98" s="169" t="str">
        <f>'DISEÑO FINAL'!E74</f>
        <v/>
      </c>
      <c r="C98" s="187" t="str">
        <f>DISEÑO!G75</f>
        <v/>
      </c>
      <c r="D98" s="169" t="str">
        <f>DISEÑO!I38</f>
        <v/>
      </c>
      <c r="E98" s="169" t="str">
        <f>'DISEÑO FINAL'!F74</f>
        <v/>
      </c>
      <c r="F98" s="169" t="str">
        <f>DISEÑO!I110</f>
        <v/>
      </c>
      <c r="G98" s="169" t="str">
        <f>'DISEÑO POR SISMO'!J54</f>
        <v/>
      </c>
      <c r="H98" s="169" t="str">
        <f>'DISEÑO FINAL'!G74</f>
        <v/>
      </c>
      <c r="I98" s="169" t="str">
        <f t="shared" si="1"/>
        <v/>
      </c>
      <c r="J98" s="147" t="s">
        <v>296</v>
      </c>
    </row>
    <row r="99" spans="1:10" x14ac:dyDescent="0.25">
      <c r="A99" s="186" t="str">
        <f>'DISEÑO FINAL'!D75</f>
        <v/>
      </c>
      <c r="B99" s="169" t="str">
        <f>'DISEÑO FINAL'!E75</f>
        <v/>
      </c>
      <c r="C99" s="187" t="str">
        <f>DISEÑO!G76</f>
        <v/>
      </c>
      <c r="D99" s="169" t="str">
        <f>DISEÑO!I39</f>
        <v/>
      </c>
      <c r="E99" s="169" t="str">
        <f>'DISEÑO FINAL'!F75</f>
        <v/>
      </c>
      <c r="F99" s="169" t="str">
        <f>DISEÑO!I111</f>
        <v/>
      </c>
      <c r="G99" s="169" t="str">
        <f>'DISEÑO POR SISMO'!J55</f>
        <v/>
      </c>
      <c r="H99" s="169" t="str">
        <f>'DISEÑO FINAL'!G75</f>
        <v/>
      </c>
      <c r="I99" s="169" t="str">
        <f t="shared" si="1"/>
        <v/>
      </c>
      <c r="J99" s="147" t="s">
        <v>294</v>
      </c>
    </row>
    <row r="100" spans="1:10" x14ac:dyDescent="0.25">
      <c r="A100" s="186" t="str">
        <f>'DISEÑO FINAL'!D76</f>
        <v/>
      </c>
      <c r="B100" s="169" t="str">
        <f>'DISEÑO FINAL'!E76</f>
        <v/>
      </c>
      <c r="C100" s="187" t="str">
        <f>DISEÑO!G77</f>
        <v/>
      </c>
      <c r="D100" s="169" t="str">
        <f>DISEÑO!I40</f>
        <v/>
      </c>
      <c r="E100" s="169" t="str">
        <f>'DISEÑO FINAL'!F76</f>
        <v/>
      </c>
      <c r="F100" s="169" t="str">
        <f>DISEÑO!I112</f>
        <v/>
      </c>
      <c r="G100" s="169" t="str">
        <f>'DISEÑO POR SISMO'!J56</f>
        <v/>
      </c>
      <c r="H100" s="169" t="str">
        <f>'DISEÑO FINAL'!G76</f>
        <v/>
      </c>
      <c r="I100" s="169" t="str">
        <f t="shared" si="1"/>
        <v/>
      </c>
      <c r="J100" s="147" t="s">
        <v>294</v>
      </c>
    </row>
    <row r="101" spans="1:10" x14ac:dyDescent="0.25">
      <c r="A101" s="186" t="str">
        <f>'DISEÑO FINAL'!D77</f>
        <v/>
      </c>
      <c r="B101" s="169" t="str">
        <f>'DISEÑO FINAL'!E77</f>
        <v/>
      </c>
      <c r="C101" s="187" t="str">
        <f>DISEÑO!G78</f>
        <v/>
      </c>
      <c r="D101" s="169" t="str">
        <f>DISEÑO!I41</f>
        <v/>
      </c>
      <c r="E101" s="169" t="str">
        <f>'DISEÑO FINAL'!F77</f>
        <v/>
      </c>
      <c r="F101" s="169" t="str">
        <f>DISEÑO!I113</f>
        <v/>
      </c>
      <c r="G101" s="169" t="str">
        <f>'DISEÑO POR SISMO'!J57</f>
        <v/>
      </c>
      <c r="H101" s="169" t="str">
        <f>'DISEÑO FINAL'!G77</f>
        <v/>
      </c>
      <c r="I101" s="169" t="str">
        <f t="shared" si="1"/>
        <v/>
      </c>
      <c r="J101" s="147" t="s">
        <v>294</v>
      </c>
    </row>
    <row r="102" spans="1:10" x14ac:dyDescent="0.25">
      <c r="A102" s="186" t="str">
        <f>'DISEÑO FINAL'!D78</f>
        <v/>
      </c>
      <c r="B102" s="169" t="str">
        <f>'DISEÑO FINAL'!E78</f>
        <v/>
      </c>
      <c r="C102" s="187" t="str">
        <f>DISEÑO!G79</f>
        <v/>
      </c>
      <c r="D102" s="169" t="str">
        <f>DISEÑO!I42</f>
        <v/>
      </c>
      <c r="E102" s="169" t="str">
        <f>'DISEÑO FINAL'!F78</f>
        <v/>
      </c>
      <c r="F102" s="169" t="str">
        <f>DISEÑO!I114</f>
        <v/>
      </c>
      <c r="G102" s="169" t="str">
        <f>'DISEÑO POR SISMO'!J58</f>
        <v/>
      </c>
      <c r="H102" s="169" t="str">
        <f>'DISEÑO FINAL'!G78</f>
        <v/>
      </c>
      <c r="I102" s="169" t="str">
        <f t="shared" si="1"/>
        <v/>
      </c>
      <c r="J102" s="147" t="s">
        <v>294</v>
      </c>
    </row>
    <row r="103" spans="1:10" x14ac:dyDescent="0.25">
      <c r="A103" s="186" t="str">
        <f>'DISEÑO FINAL'!D79</f>
        <v/>
      </c>
      <c r="B103" s="169" t="str">
        <f>'DISEÑO FINAL'!E79</f>
        <v/>
      </c>
      <c r="C103" s="187" t="str">
        <f>DISEÑO!G80</f>
        <v/>
      </c>
      <c r="D103" s="169" t="str">
        <f>DISEÑO!I43</f>
        <v/>
      </c>
      <c r="E103" s="169" t="str">
        <f>'DISEÑO FINAL'!F79</f>
        <v/>
      </c>
      <c r="F103" s="169" t="str">
        <f>DISEÑO!I115</f>
        <v/>
      </c>
      <c r="G103" s="169" t="str">
        <f>'DISEÑO POR SISMO'!J59</f>
        <v/>
      </c>
      <c r="H103" s="169" t="str">
        <f>'DISEÑO FINAL'!G79</f>
        <v/>
      </c>
      <c r="I103" s="169" t="str">
        <f t="shared" si="1"/>
        <v/>
      </c>
      <c r="J103" s="147" t="s">
        <v>294</v>
      </c>
    </row>
    <row r="104" spans="1:10" x14ac:dyDescent="0.25">
      <c r="A104" s="186" t="str">
        <f>'DISEÑO FINAL'!D80</f>
        <v/>
      </c>
      <c r="B104" s="169" t="str">
        <f>'DISEÑO FINAL'!E80</f>
        <v/>
      </c>
      <c r="C104" s="187" t="str">
        <f>DISEÑO!G81</f>
        <v/>
      </c>
      <c r="D104" s="169" t="str">
        <f>DISEÑO!I44</f>
        <v/>
      </c>
      <c r="E104" s="169" t="str">
        <f>'DISEÑO FINAL'!F80</f>
        <v/>
      </c>
      <c r="F104" s="169" t="str">
        <f>DISEÑO!I116</f>
        <v/>
      </c>
      <c r="G104" s="169" t="str">
        <f>'DISEÑO POR SISMO'!J60</f>
        <v/>
      </c>
      <c r="H104" s="169" t="str">
        <f>'DISEÑO FINAL'!G80</f>
        <v/>
      </c>
      <c r="I104" s="169" t="str">
        <f t="shared" si="1"/>
        <v/>
      </c>
      <c r="J104" s="147" t="s">
        <v>294</v>
      </c>
    </row>
    <row r="105" spans="1:10" x14ac:dyDescent="0.25">
      <c r="A105" s="186" t="str">
        <f>'DISEÑO FINAL'!D81</f>
        <v/>
      </c>
      <c r="B105" s="169" t="str">
        <f>'DISEÑO FINAL'!E81</f>
        <v/>
      </c>
      <c r="C105" s="187" t="str">
        <f>DISEÑO!G82</f>
        <v/>
      </c>
      <c r="D105" s="169" t="str">
        <f>DISEÑO!I45</f>
        <v/>
      </c>
      <c r="E105" s="169" t="str">
        <f>'DISEÑO FINAL'!F81</f>
        <v/>
      </c>
      <c r="F105" s="169" t="str">
        <f>DISEÑO!I117</f>
        <v/>
      </c>
      <c r="G105" s="169" t="str">
        <f>'DISEÑO POR SISMO'!J61</f>
        <v/>
      </c>
      <c r="H105" s="169" t="str">
        <f>'DISEÑO FINAL'!G81</f>
        <v/>
      </c>
      <c r="I105" s="169" t="str">
        <f t="shared" si="1"/>
        <v/>
      </c>
      <c r="J105" s="147" t="s">
        <v>294</v>
      </c>
    </row>
    <row r="106" spans="1:10" x14ac:dyDescent="0.25">
      <c r="A106" s="186" t="str">
        <f>'DISEÑO FINAL'!D82</f>
        <v/>
      </c>
      <c r="B106" s="169" t="str">
        <f>'DISEÑO FINAL'!E82</f>
        <v/>
      </c>
      <c r="C106" s="187" t="str">
        <f>DISEÑO!G83</f>
        <v/>
      </c>
      <c r="D106" s="169" t="str">
        <f>DISEÑO!I46</f>
        <v/>
      </c>
      <c r="E106" s="169" t="str">
        <f>'DISEÑO FINAL'!F82</f>
        <v/>
      </c>
      <c r="F106" s="169" t="str">
        <f>DISEÑO!I118</f>
        <v/>
      </c>
      <c r="G106" s="169" t="str">
        <f>'DISEÑO POR SISMO'!J62</f>
        <v/>
      </c>
      <c r="H106" s="169" t="str">
        <f>'DISEÑO FINAL'!G82</f>
        <v/>
      </c>
      <c r="I106" s="169" t="str">
        <f t="shared" si="1"/>
        <v/>
      </c>
      <c r="J106" s="147" t="s">
        <v>294</v>
      </c>
    </row>
    <row r="107" spans="1:10" x14ac:dyDescent="0.25">
      <c r="A107" s="186" t="str">
        <f>'DISEÑO FINAL'!D83</f>
        <v/>
      </c>
      <c r="B107" s="169" t="str">
        <f>'DISEÑO FINAL'!E83</f>
        <v/>
      </c>
      <c r="C107" s="187" t="str">
        <f>DISEÑO!G84</f>
        <v/>
      </c>
      <c r="D107" s="169" t="str">
        <f>DISEÑO!I47</f>
        <v/>
      </c>
      <c r="E107" s="169" t="str">
        <f>'DISEÑO FINAL'!F83</f>
        <v/>
      </c>
      <c r="F107" s="169" t="str">
        <f>DISEÑO!I119</f>
        <v/>
      </c>
      <c r="G107" s="169" t="str">
        <f>'DISEÑO POR SISMO'!J63</f>
        <v/>
      </c>
      <c r="H107" s="169" t="str">
        <f>'DISEÑO FINAL'!G83</f>
        <v/>
      </c>
      <c r="I107" s="169" t="str">
        <f t="shared" si="1"/>
        <v/>
      </c>
      <c r="J107" s="147" t="s">
        <v>294</v>
      </c>
    </row>
    <row r="108" spans="1:10" x14ac:dyDescent="0.25">
      <c r="A108" s="186" t="str">
        <f>'DISEÑO FINAL'!D84</f>
        <v/>
      </c>
      <c r="B108" s="169" t="str">
        <f>'DISEÑO FINAL'!E84</f>
        <v/>
      </c>
      <c r="C108" s="187" t="str">
        <f>DISEÑO!G85</f>
        <v/>
      </c>
      <c r="D108" s="169" t="str">
        <f>DISEÑO!I48</f>
        <v/>
      </c>
      <c r="E108" s="169" t="str">
        <f>'DISEÑO FINAL'!F84</f>
        <v/>
      </c>
      <c r="F108" s="169" t="str">
        <f>DISEÑO!I120</f>
        <v/>
      </c>
      <c r="G108" s="169" t="str">
        <f>'DISEÑO POR SISMO'!J64</f>
        <v/>
      </c>
      <c r="H108" s="169" t="str">
        <f>'DISEÑO FINAL'!G84</f>
        <v/>
      </c>
      <c r="I108" s="169" t="str">
        <f t="shared" si="1"/>
        <v/>
      </c>
      <c r="J108" s="147" t="s">
        <v>294</v>
      </c>
    </row>
    <row r="109" spans="1:10" x14ac:dyDescent="0.25">
      <c r="A109" s="186" t="str">
        <f>'DISEÑO FINAL'!D85</f>
        <v/>
      </c>
      <c r="B109" s="169" t="str">
        <f>'DISEÑO FINAL'!E85</f>
        <v/>
      </c>
      <c r="C109" s="187" t="str">
        <f>DISEÑO!G86</f>
        <v/>
      </c>
      <c r="D109" s="169" t="str">
        <f>DISEÑO!I49</f>
        <v/>
      </c>
      <c r="E109" s="169" t="str">
        <f>'DISEÑO FINAL'!F85</f>
        <v/>
      </c>
      <c r="F109" s="169" t="str">
        <f>DISEÑO!I121</f>
        <v/>
      </c>
      <c r="G109" s="169" t="str">
        <f>'DISEÑO POR SISMO'!J65</f>
        <v/>
      </c>
      <c r="H109" s="169" t="str">
        <f>'DISEÑO FINAL'!G85</f>
        <v/>
      </c>
      <c r="I109" s="169" t="str">
        <f t="shared" si="1"/>
        <v/>
      </c>
      <c r="J109" s="147" t="s">
        <v>294</v>
      </c>
    </row>
    <row r="110" spans="1:10" x14ac:dyDescent="0.25">
      <c r="A110" s="186" t="str">
        <f>'DISEÑO FINAL'!D86</f>
        <v/>
      </c>
      <c r="B110" s="169" t="str">
        <f>'DISEÑO FINAL'!E86</f>
        <v/>
      </c>
      <c r="C110" s="187" t="str">
        <f>DISEÑO!G87</f>
        <v/>
      </c>
      <c r="D110" s="169" t="str">
        <f>DISEÑO!I50</f>
        <v/>
      </c>
      <c r="E110" s="169" t="str">
        <f>'DISEÑO FINAL'!F86</f>
        <v/>
      </c>
      <c r="F110" s="169" t="str">
        <f>DISEÑO!I122</f>
        <v/>
      </c>
      <c r="G110" s="169" t="str">
        <f>'DISEÑO POR SISMO'!J66</f>
        <v/>
      </c>
      <c r="H110" s="169" t="str">
        <f>'DISEÑO FINAL'!G86</f>
        <v/>
      </c>
      <c r="I110" s="169" t="str">
        <f t="shared" si="1"/>
        <v/>
      </c>
      <c r="J110" s="147" t="s">
        <v>294</v>
      </c>
    </row>
    <row r="111" spans="1:10" x14ac:dyDescent="0.25">
      <c r="A111" s="186" t="str">
        <f>'DISEÑO FINAL'!D87</f>
        <v/>
      </c>
      <c r="B111" s="169" t="str">
        <f>'DISEÑO FINAL'!E87</f>
        <v/>
      </c>
      <c r="C111" s="187" t="str">
        <f>DISEÑO!G88</f>
        <v/>
      </c>
      <c r="D111" s="169" t="str">
        <f>DISEÑO!I51</f>
        <v/>
      </c>
      <c r="E111" s="169" t="str">
        <f>'DISEÑO FINAL'!F87</f>
        <v/>
      </c>
      <c r="F111" s="169" t="str">
        <f>DISEÑO!I123</f>
        <v/>
      </c>
      <c r="G111" s="169" t="str">
        <f>'DISEÑO POR SISMO'!J67</f>
        <v/>
      </c>
      <c r="H111" s="169" t="str">
        <f>'DISEÑO FINAL'!G87</f>
        <v/>
      </c>
      <c r="I111" s="169" t="str">
        <f t="shared" si="1"/>
        <v/>
      </c>
      <c r="J111" s="147" t="s">
        <v>294</v>
      </c>
    </row>
    <row r="112" spans="1:10" x14ac:dyDescent="0.25">
      <c r="A112" s="186" t="str">
        <f>'DISEÑO FINAL'!D88</f>
        <v/>
      </c>
      <c r="B112" s="169" t="str">
        <f>'DISEÑO FINAL'!E88</f>
        <v/>
      </c>
      <c r="C112" s="187" t="str">
        <f>DISEÑO!G89</f>
        <v/>
      </c>
      <c r="D112" s="169" t="str">
        <f>DISEÑO!I52</f>
        <v/>
      </c>
      <c r="E112" s="169" t="str">
        <f>'DISEÑO FINAL'!F88</f>
        <v/>
      </c>
      <c r="F112" s="169" t="str">
        <f>DISEÑO!I124</f>
        <v/>
      </c>
      <c r="G112" s="169" t="str">
        <f>'DISEÑO POR SISMO'!J68</f>
        <v/>
      </c>
      <c r="H112" s="169" t="str">
        <f>'DISEÑO FINAL'!G88</f>
        <v/>
      </c>
      <c r="I112" s="169" t="str">
        <f t="shared" si="1"/>
        <v/>
      </c>
      <c r="J112" s="147" t="s">
        <v>294</v>
      </c>
    </row>
    <row r="113" spans="1:10" x14ac:dyDescent="0.25">
      <c r="A113" s="186" t="str">
        <f>'DISEÑO FINAL'!D89</f>
        <v/>
      </c>
      <c r="B113" s="169" t="str">
        <f>'DISEÑO FINAL'!E89</f>
        <v/>
      </c>
      <c r="C113" s="187" t="str">
        <f>DISEÑO!G90</f>
        <v/>
      </c>
      <c r="D113" s="169" t="str">
        <f>DISEÑO!I53</f>
        <v/>
      </c>
      <c r="E113" s="169" t="str">
        <f>'DISEÑO FINAL'!F89</f>
        <v/>
      </c>
      <c r="F113" s="169" t="str">
        <f>DISEÑO!I125</f>
        <v/>
      </c>
      <c r="G113" s="169" t="str">
        <f>'DISEÑO POR SISMO'!J69</f>
        <v/>
      </c>
      <c r="H113" s="169" t="str">
        <f>'DISEÑO FINAL'!G89</f>
        <v/>
      </c>
      <c r="I113" s="169" t="str">
        <f t="shared" si="1"/>
        <v/>
      </c>
      <c r="J113" s="147" t="s">
        <v>294</v>
      </c>
    </row>
    <row r="114" spans="1:10" x14ac:dyDescent="0.25">
      <c r="A114" s="186" t="str">
        <f>'DISEÑO FINAL'!D90</f>
        <v/>
      </c>
      <c r="B114" s="169" t="str">
        <f>'DISEÑO FINAL'!E90</f>
        <v/>
      </c>
      <c r="C114" s="187" t="str">
        <f>DISEÑO!G91</f>
        <v/>
      </c>
      <c r="D114" s="169" t="str">
        <f>DISEÑO!I54</f>
        <v/>
      </c>
      <c r="E114" s="169" t="str">
        <f>'DISEÑO FINAL'!F90</f>
        <v/>
      </c>
      <c r="F114" s="169" t="str">
        <f>DISEÑO!I126</f>
        <v/>
      </c>
      <c r="G114" s="169" t="str">
        <f>'DISEÑO POR SISMO'!J70</f>
        <v/>
      </c>
      <c r="H114" s="169" t="str">
        <f>'DISEÑO FINAL'!G90</f>
        <v/>
      </c>
      <c r="I114" s="169" t="str">
        <f t="shared" si="1"/>
        <v/>
      </c>
      <c r="J114" s="147" t="s">
        <v>294</v>
      </c>
    </row>
    <row r="115" spans="1:10" x14ac:dyDescent="0.25">
      <c r="A115" s="186" t="str">
        <f>'DISEÑO FINAL'!D91</f>
        <v/>
      </c>
      <c r="B115" s="169" t="str">
        <f>'DISEÑO FINAL'!E91</f>
        <v/>
      </c>
      <c r="C115" s="187" t="str">
        <f>DISEÑO!G92</f>
        <v/>
      </c>
      <c r="D115" s="169" t="str">
        <f>DISEÑO!I55</f>
        <v/>
      </c>
      <c r="E115" s="169" t="str">
        <f>'DISEÑO FINAL'!F91</f>
        <v/>
      </c>
      <c r="F115" s="169" t="str">
        <f>DISEÑO!I127</f>
        <v/>
      </c>
      <c r="G115" s="169" t="str">
        <f>'DISEÑO POR SISMO'!J71</f>
        <v/>
      </c>
      <c r="H115" s="169" t="str">
        <f>'DISEÑO FINAL'!G91</f>
        <v/>
      </c>
      <c r="I115" s="169" t="str">
        <f t="shared" si="1"/>
        <v/>
      </c>
      <c r="J115" s="147" t="s">
        <v>293</v>
      </c>
    </row>
    <row r="116" spans="1:10" x14ac:dyDescent="0.25">
      <c r="A116" s="186" t="str">
        <f>'DISEÑO FINAL'!D92</f>
        <v/>
      </c>
      <c r="B116" s="169" t="str">
        <f>'DISEÑO FINAL'!E92</f>
        <v/>
      </c>
      <c r="C116" s="187" t="str">
        <f>DISEÑO!G93</f>
        <v/>
      </c>
      <c r="D116" s="169" t="str">
        <f>DISEÑO!I56</f>
        <v/>
      </c>
      <c r="E116" s="169" t="str">
        <f>'DISEÑO FINAL'!F92</f>
        <v/>
      </c>
      <c r="F116" s="169" t="str">
        <f>DISEÑO!I128</f>
        <v/>
      </c>
      <c r="G116" s="169" t="str">
        <f>'DISEÑO POR SISMO'!J72</f>
        <v/>
      </c>
      <c r="H116" s="169" t="str">
        <f>'DISEÑO FINAL'!G92</f>
        <v/>
      </c>
      <c r="I116" s="169" t="str">
        <f t="shared" si="1"/>
        <v/>
      </c>
      <c r="J116" s="147" t="s">
        <v>293</v>
      </c>
    </row>
    <row r="117" spans="1:10" x14ac:dyDescent="0.25">
      <c r="A117" s="186" t="str">
        <f>'DISEÑO FINAL'!D93</f>
        <v/>
      </c>
      <c r="B117" s="169" t="str">
        <f>'DISEÑO FINAL'!E93</f>
        <v/>
      </c>
      <c r="C117" s="187" t="str">
        <f>DISEÑO!G94</f>
        <v/>
      </c>
      <c r="D117" s="169" t="str">
        <f>DISEÑO!I57</f>
        <v/>
      </c>
      <c r="E117" s="169" t="str">
        <f>'DISEÑO FINAL'!F93</f>
        <v/>
      </c>
      <c r="F117" s="169" t="str">
        <f>DISEÑO!I129</f>
        <v/>
      </c>
      <c r="G117" s="169" t="str">
        <f>'DISEÑO POR SISMO'!J73</f>
        <v/>
      </c>
      <c r="H117" s="169" t="str">
        <f>'DISEÑO FINAL'!G93</f>
        <v/>
      </c>
      <c r="I117" s="169" t="str">
        <f t="shared" si="1"/>
        <v/>
      </c>
      <c r="J117" s="147" t="s">
        <v>293</v>
      </c>
    </row>
    <row r="118" spans="1:10" x14ac:dyDescent="0.25">
      <c r="A118" s="186" t="str">
        <f>'DISEÑO FINAL'!D94</f>
        <v/>
      </c>
      <c r="B118" s="169" t="str">
        <f>'DISEÑO FINAL'!E94</f>
        <v/>
      </c>
      <c r="C118" s="187" t="str">
        <f>DISEÑO!G95</f>
        <v/>
      </c>
      <c r="D118" s="169" t="str">
        <f>DISEÑO!I58</f>
        <v/>
      </c>
      <c r="E118" s="169" t="str">
        <f>'DISEÑO FINAL'!F94</f>
        <v/>
      </c>
      <c r="F118" s="169" t="str">
        <f>DISEÑO!I130</f>
        <v/>
      </c>
      <c r="G118" s="169" t="str">
        <f>'DISEÑO POR SISMO'!J74</f>
        <v/>
      </c>
      <c r="H118" s="169" t="str">
        <f>'DISEÑO FINAL'!G94</f>
        <v/>
      </c>
      <c r="I118" s="169" t="str">
        <f t="shared" si="1"/>
        <v/>
      </c>
      <c r="J118" s="147" t="s">
        <v>293</v>
      </c>
    </row>
    <row r="119" spans="1:10" x14ac:dyDescent="0.25">
      <c r="A119" s="186" t="str">
        <f>'DISEÑO FINAL'!D95</f>
        <v/>
      </c>
      <c r="B119" s="169" t="str">
        <f>'DISEÑO FINAL'!E95</f>
        <v/>
      </c>
      <c r="C119" s="187" t="str">
        <f>DISEÑO!K66</f>
        <v/>
      </c>
      <c r="D119" s="169" t="str">
        <f>DISEÑO!N29</f>
        <v/>
      </c>
      <c r="E119" s="169" t="str">
        <f>'DISEÑO FINAL'!F95</f>
        <v/>
      </c>
      <c r="F119" s="169" t="str">
        <f>DISEÑO!N101</f>
        <v/>
      </c>
      <c r="G119" s="169" t="str">
        <f>'DISEÑO POR SISMO'!P45</f>
        <v/>
      </c>
      <c r="H119" s="169" t="str">
        <f>'DISEÑO FINAL'!G95</f>
        <v/>
      </c>
      <c r="I119" s="169" t="str">
        <f t="shared" si="1"/>
        <v/>
      </c>
      <c r="J119" s="147" t="s">
        <v>293</v>
      </c>
    </row>
    <row r="120" spans="1:10" x14ac:dyDescent="0.25">
      <c r="A120" s="186" t="str">
        <f>'DISEÑO FINAL'!D96</f>
        <v/>
      </c>
      <c r="B120" s="169" t="str">
        <f>'DISEÑO FINAL'!E96</f>
        <v/>
      </c>
      <c r="C120" s="187" t="str">
        <f>DISEÑO!K67</f>
        <v/>
      </c>
      <c r="D120" s="169" t="str">
        <f>DISEÑO!N30</f>
        <v/>
      </c>
      <c r="E120" s="169" t="str">
        <f>'DISEÑO FINAL'!F96</f>
        <v/>
      </c>
      <c r="F120" s="169" t="str">
        <f>DISEÑO!N102</f>
        <v/>
      </c>
      <c r="G120" s="169" t="str">
        <f>'DISEÑO POR SISMO'!P46</f>
        <v/>
      </c>
      <c r="H120" s="169" t="str">
        <f>'DISEÑO FINAL'!G96</f>
        <v/>
      </c>
      <c r="I120" s="169" t="str">
        <f t="shared" si="1"/>
        <v/>
      </c>
      <c r="J120" s="147" t="s">
        <v>293</v>
      </c>
    </row>
    <row r="121" spans="1:10" x14ac:dyDescent="0.25">
      <c r="A121" s="186" t="str">
        <f>'DISEÑO FINAL'!D97</f>
        <v/>
      </c>
      <c r="B121" s="169" t="str">
        <f>'DISEÑO FINAL'!E97</f>
        <v/>
      </c>
      <c r="C121" s="187" t="str">
        <f>DISEÑO!K68</f>
        <v/>
      </c>
      <c r="D121" s="169" t="str">
        <f>DISEÑO!N31</f>
        <v/>
      </c>
      <c r="E121" s="169" t="str">
        <f>'DISEÑO FINAL'!F97</f>
        <v/>
      </c>
      <c r="F121" s="169" t="str">
        <f>DISEÑO!N103</f>
        <v/>
      </c>
      <c r="G121" s="169" t="str">
        <f>'DISEÑO POR SISMO'!P47</f>
        <v/>
      </c>
      <c r="H121" s="169" t="str">
        <f>'DISEÑO FINAL'!G97</f>
        <v/>
      </c>
      <c r="I121" s="169" t="str">
        <f t="shared" si="1"/>
        <v/>
      </c>
      <c r="J121" s="147" t="s">
        <v>293</v>
      </c>
    </row>
    <row r="122" spans="1:10" x14ac:dyDescent="0.25">
      <c r="A122" s="186" t="str">
        <f>'DISEÑO FINAL'!D98</f>
        <v/>
      </c>
      <c r="B122" s="169" t="str">
        <f>'DISEÑO FINAL'!E98</f>
        <v/>
      </c>
      <c r="C122" s="187" t="str">
        <f>DISEÑO!K69</f>
        <v/>
      </c>
      <c r="D122" s="169" t="str">
        <f>DISEÑO!N32</f>
        <v/>
      </c>
      <c r="E122" s="169" t="str">
        <f>'DISEÑO FINAL'!F98</f>
        <v/>
      </c>
      <c r="F122" s="169" t="str">
        <f>DISEÑO!N104</f>
        <v/>
      </c>
      <c r="G122" s="169" t="str">
        <f>'DISEÑO POR SISMO'!P48</f>
        <v/>
      </c>
      <c r="H122" s="169" t="str">
        <f>'DISEÑO FINAL'!G98</f>
        <v/>
      </c>
      <c r="I122" s="169" t="str">
        <f t="shared" si="1"/>
        <v/>
      </c>
      <c r="J122" s="147" t="s">
        <v>293</v>
      </c>
    </row>
    <row r="123" spans="1:10" x14ac:dyDescent="0.25">
      <c r="A123" s="186" t="str">
        <f>'DISEÑO FINAL'!D99</f>
        <v/>
      </c>
      <c r="B123" s="169" t="str">
        <f>'DISEÑO FINAL'!E99</f>
        <v/>
      </c>
      <c r="C123" s="187" t="str">
        <f>DISEÑO!K70</f>
        <v/>
      </c>
      <c r="D123" s="169" t="str">
        <f>DISEÑO!N33</f>
        <v/>
      </c>
      <c r="E123" s="169" t="str">
        <f>'DISEÑO FINAL'!F99</f>
        <v/>
      </c>
      <c r="F123" s="169" t="str">
        <f>DISEÑO!N105</f>
        <v/>
      </c>
      <c r="G123" s="169" t="str">
        <f>'DISEÑO POR SISMO'!P49</f>
        <v/>
      </c>
      <c r="H123" s="169" t="str">
        <f>'DISEÑO FINAL'!G99</f>
        <v/>
      </c>
      <c r="I123" s="169" t="str">
        <f t="shared" ref="I123:I148" si="2">IF(B123="","",$H$37)</f>
        <v/>
      </c>
      <c r="J123" s="147" t="s">
        <v>293</v>
      </c>
    </row>
    <row r="124" spans="1:10" x14ac:dyDescent="0.25">
      <c r="A124" s="186" t="str">
        <f>'DISEÑO FINAL'!D100</f>
        <v/>
      </c>
      <c r="B124" s="169" t="str">
        <f>'DISEÑO FINAL'!E100</f>
        <v/>
      </c>
      <c r="C124" s="187" t="str">
        <f>DISEÑO!K71</f>
        <v/>
      </c>
      <c r="D124" s="169" t="str">
        <f>DISEÑO!N34</f>
        <v/>
      </c>
      <c r="E124" s="169" t="str">
        <f>'DISEÑO FINAL'!F100</f>
        <v/>
      </c>
      <c r="F124" s="169" t="str">
        <f>DISEÑO!N106</f>
        <v/>
      </c>
      <c r="G124" s="169" t="str">
        <f>'DISEÑO POR SISMO'!P50</f>
        <v/>
      </c>
      <c r="H124" s="169" t="str">
        <f>'DISEÑO FINAL'!G100</f>
        <v/>
      </c>
      <c r="I124" s="169" t="str">
        <f t="shared" si="2"/>
        <v/>
      </c>
      <c r="J124" s="147" t="s">
        <v>293</v>
      </c>
    </row>
    <row r="125" spans="1:10" x14ac:dyDescent="0.25">
      <c r="A125" s="186" t="str">
        <f>'DISEÑO FINAL'!D101</f>
        <v/>
      </c>
      <c r="B125" s="169" t="str">
        <f>'DISEÑO FINAL'!E101</f>
        <v/>
      </c>
      <c r="C125" s="187" t="str">
        <f>DISEÑO!K72</f>
        <v/>
      </c>
      <c r="D125" s="169" t="str">
        <f>DISEÑO!N35</f>
        <v/>
      </c>
      <c r="E125" s="169" t="str">
        <f>'DISEÑO FINAL'!F101</f>
        <v/>
      </c>
      <c r="F125" s="169" t="str">
        <f>DISEÑO!N107</f>
        <v/>
      </c>
      <c r="G125" s="169" t="str">
        <f>'DISEÑO POR SISMO'!P51</f>
        <v/>
      </c>
      <c r="H125" s="169" t="str">
        <f>'DISEÑO FINAL'!G101</f>
        <v/>
      </c>
      <c r="I125" s="169" t="str">
        <f t="shared" si="2"/>
        <v/>
      </c>
      <c r="J125" s="147" t="s">
        <v>293</v>
      </c>
    </row>
    <row r="126" spans="1:10" x14ac:dyDescent="0.25">
      <c r="A126" s="186" t="str">
        <f>'DISEÑO FINAL'!D102</f>
        <v/>
      </c>
      <c r="B126" s="169" t="str">
        <f>'DISEÑO FINAL'!E102</f>
        <v/>
      </c>
      <c r="C126" s="187" t="str">
        <f>DISEÑO!K73</f>
        <v/>
      </c>
      <c r="D126" s="169" t="str">
        <f>DISEÑO!N36</f>
        <v/>
      </c>
      <c r="E126" s="169" t="str">
        <f>'DISEÑO FINAL'!F102</f>
        <v/>
      </c>
      <c r="F126" s="169" t="str">
        <f>DISEÑO!N108</f>
        <v/>
      </c>
      <c r="G126" s="169" t="str">
        <f>'DISEÑO POR SISMO'!P52</f>
        <v/>
      </c>
      <c r="H126" s="169" t="str">
        <f>'DISEÑO FINAL'!G102</f>
        <v/>
      </c>
      <c r="I126" s="169" t="str">
        <f t="shared" si="2"/>
        <v/>
      </c>
      <c r="J126" s="147" t="s">
        <v>293</v>
      </c>
    </row>
    <row r="127" spans="1:10" x14ac:dyDescent="0.25">
      <c r="A127" s="186" t="str">
        <f>'DISEÑO FINAL'!D103</f>
        <v/>
      </c>
      <c r="B127" s="169" t="str">
        <f>'DISEÑO FINAL'!E103</f>
        <v/>
      </c>
      <c r="C127" s="187" t="str">
        <f>DISEÑO!K74</f>
        <v/>
      </c>
      <c r="D127" s="169" t="str">
        <f>DISEÑO!N37</f>
        <v/>
      </c>
      <c r="E127" s="169" t="str">
        <f>'DISEÑO FINAL'!F103</f>
        <v/>
      </c>
      <c r="F127" s="169" t="str">
        <f>DISEÑO!N109</f>
        <v/>
      </c>
      <c r="G127" s="169" t="str">
        <f>'DISEÑO POR SISMO'!P53</f>
        <v/>
      </c>
      <c r="H127" s="169" t="str">
        <f>'DISEÑO FINAL'!G103</f>
        <v/>
      </c>
      <c r="I127" s="169" t="str">
        <f t="shared" si="2"/>
        <v/>
      </c>
      <c r="J127" s="147" t="s">
        <v>293</v>
      </c>
    </row>
    <row r="128" spans="1:10" x14ac:dyDescent="0.25">
      <c r="A128" s="186" t="str">
        <f>'DISEÑO FINAL'!D104</f>
        <v/>
      </c>
      <c r="B128" s="169" t="str">
        <f>'DISEÑO FINAL'!E104</f>
        <v/>
      </c>
      <c r="C128" s="187" t="str">
        <f>DISEÑO!K75</f>
        <v/>
      </c>
      <c r="D128" s="169" t="str">
        <f>DISEÑO!N38</f>
        <v/>
      </c>
      <c r="E128" s="169" t="str">
        <f>'DISEÑO FINAL'!F104</f>
        <v/>
      </c>
      <c r="F128" s="169" t="str">
        <f>DISEÑO!N110</f>
        <v/>
      </c>
      <c r="G128" s="169" t="str">
        <f>'DISEÑO POR SISMO'!P54</f>
        <v/>
      </c>
      <c r="H128" s="169" t="str">
        <f>'DISEÑO FINAL'!G104</f>
        <v/>
      </c>
      <c r="I128" s="169" t="str">
        <f t="shared" si="2"/>
        <v/>
      </c>
      <c r="J128" s="147" t="s">
        <v>293</v>
      </c>
    </row>
    <row r="129" spans="1:9" x14ac:dyDescent="0.25">
      <c r="A129" s="186" t="str">
        <f>'DISEÑO FINAL'!D105</f>
        <v/>
      </c>
      <c r="B129" s="169" t="str">
        <f>'DISEÑO FINAL'!E105</f>
        <v/>
      </c>
      <c r="C129" s="187" t="str">
        <f>DISEÑO!K76</f>
        <v/>
      </c>
      <c r="D129" s="169" t="str">
        <f>DISEÑO!N39</f>
        <v/>
      </c>
      <c r="E129" s="169" t="str">
        <f>'DISEÑO FINAL'!F105</f>
        <v/>
      </c>
      <c r="F129" s="169" t="str">
        <f>DISEÑO!N111</f>
        <v/>
      </c>
      <c r="G129" s="169" t="str">
        <f>'DISEÑO POR SISMO'!P55</f>
        <v/>
      </c>
      <c r="H129" s="169" t="str">
        <f>'DISEÑO FINAL'!G105</f>
        <v/>
      </c>
      <c r="I129" s="169" t="str">
        <f t="shared" si="2"/>
        <v/>
      </c>
    </row>
    <row r="130" spans="1:9" x14ac:dyDescent="0.25">
      <c r="A130" s="186" t="str">
        <f>'DISEÑO FINAL'!D106</f>
        <v/>
      </c>
      <c r="B130" s="169" t="str">
        <f>'DISEÑO FINAL'!E106</f>
        <v/>
      </c>
      <c r="C130" s="187" t="str">
        <f>DISEÑO!K77</f>
        <v/>
      </c>
      <c r="D130" s="169" t="str">
        <f>DISEÑO!N40</f>
        <v/>
      </c>
      <c r="E130" s="169" t="str">
        <f>'DISEÑO FINAL'!F106</f>
        <v/>
      </c>
      <c r="F130" s="169" t="str">
        <f>DISEÑO!N112</f>
        <v/>
      </c>
      <c r="G130" s="169" t="str">
        <f>'DISEÑO POR SISMO'!P56</f>
        <v/>
      </c>
      <c r="H130" s="169" t="str">
        <f>'DISEÑO FINAL'!G106</f>
        <v/>
      </c>
      <c r="I130" s="169" t="str">
        <f t="shared" si="2"/>
        <v/>
      </c>
    </row>
    <row r="131" spans="1:9" x14ac:dyDescent="0.25">
      <c r="A131" s="186" t="str">
        <f>'DISEÑO FINAL'!D107</f>
        <v/>
      </c>
      <c r="B131" s="169" t="str">
        <f>'DISEÑO FINAL'!E107</f>
        <v/>
      </c>
      <c r="C131" s="187" t="str">
        <f>DISEÑO!K78</f>
        <v/>
      </c>
      <c r="D131" s="169" t="str">
        <f>DISEÑO!N41</f>
        <v/>
      </c>
      <c r="E131" s="169" t="str">
        <f>'DISEÑO FINAL'!F107</f>
        <v/>
      </c>
      <c r="F131" s="169" t="str">
        <f>DISEÑO!N113</f>
        <v/>
      </c>
      <c r="G131" s="169" t="str">
        <f>'DISEÑO POR SISMO'!P57</f>
        <v/>
      </c>
      <c r="H131" s="169" t="str">
        <f>'DISEÑO FINAL'!G107</f>
        <v/>
      </c>
      <c r="I131" s="169" t="str">
        <f t="shared" si="2"/>
        <v/>
      </c>
    </row>
    <row r="132" spans="1:9" x14ac:dyDescent="0.25">
      <c r="A132" s="149" t="str">
        <f>'DISEÑO FINAL'!D108</f>
        <v/>
      </c>
      <c r="B132" s="150" t="str">
        <f>'DISEÑO FINAL'!E108</f>
        <v/>
      </c>
      <c r="C132" s="168" t="str">
        <f>DISEÑO!K79</f>
        <v/>
      </c>
      <c r="D132" s="150" t="str">
        <f>DISEÑO!N42</f>
        <v/>
      </c>
      <c r="E132" s="150" t="str">
        <f>'DISEÑO FINAL'!F108</f>
        <v/>
      </c>
      <c r="F132" s="150" t="str">
        <f>DISEÑO!N114</f>
        <v/>
      </c>
      <c r="G132" s="150" t="str">
        <f>'DISEÑO POR SISMO'!P58</f>
        <v/>
      </c>
      <c r="H132" s="150" t="str">
        <f>'DISEÑO FINAL'!G108</f>
        <v/>
      </c>
      <c r="I132" s="150" t="str">
        <f t="shared" si="2"/>
        <v/>
      </c>
    </row>
    <row r="133" spans="1:9" x14ac:dyDescent="0.25">
      <c r="A133" s="149" t="str">
        <f>'DISEÑO FINAL'!D109</f>
        <v/>
      </c>
      <c r="B133" s="150" t="str">
        <f>'DISEÑO FINAL'!E109</f>
        <v/>
      </c>
      <c r="C133" s="168" t="str">
        <f>DISEÑO!K80</f>
        <v/>
      </c>
      <c r="D133" s="150" t="str">
        <f>DISEÑO!N43</f>
        <v/>
      </c>
      <c r="E133" s="150" t="str">
        <f>'DISEÑO FINAL'!F109</f>
        <v/>
      </c>
      <c r="F133" s="150" t="str">
        <f>DISEÑO!N115</f>
        <v/>
      </c>
      <c r="G133" s="150" t="str">
        <f>'DISEÑO POR SISMO'!P59</f>
        <v/>
      </c>
      <c r="H133" s="150" t="str">
        <f>'DISEÑO FINAL'!G109</f>
        <v/>
      </c>
      <c r="I133" s="150" t="str">
        <f t="shared" si="2"/>
        <v/>
      </c>
    </row>
    <row r="134" spans="1:9" x14ac:dyDescent="0.25">
      <c r="A134" s="149" t="str">
        <f>'DISEÑO FINAL'!D110</f>
        <v/>
      </c>
      <c r="B134" s="150" t="str">
        <f>'DISEÑO FINAL'!E110</f>
        <v/>
      </c>
      <c r="C134" s="168" t="str">
        <f>DISEÑO!K81</f>
        <v/>
      </c>
      <c r="D134" s="150" t="str">
        <f>DISEÑO!N44</f>
        <v/>
      </c>
      <c r="E134" s="150" t="str">
        <f>'DISEÑO FINAL'!F110</f>
        <v/>
      </c>
      <c r="F134" s="150" t="str">
        <f>DISEÑO!N116</f>
        <v/>
      </c>
      <c r="G134" s="150" t="str">
        <f>'DISEÑO POR SISMO'!P60</f>
        <v/>
      </c>
      <c r="H134" s="150" t="str">
        <f>'DISEÑO FINAL'!G110</f>
        <v/>
      </c>
      <c r="I134" s="150" t="str">
        <f t="shared" si="2"/>
        <v/>
      </c>
    </row>
    <row r="135" spans="1:9" x14ac:dyDescent="0.25">
      <c r="A135" s="149" t="str">
        <f>'DISEÑO FINAL'!D111</f>
        <v/>
      </c>
      <c r="B135" s="150" t="str">
        <f>'DISEÑO FINAL'!E111</f>
        <v/>
      </c>
      <c r="C135" s="168" t="str">
        <f>DISEÑO!K82</f>
        <v/>
      </c>
      <c r="D135" s="150" t="str">
        <f>DISEÑO!N45</f>
        <v/>
      </c>
      <c r="E135" s="150" t="str">
        <f>'DISEÑO FINAL'!F111</f>
        <v/>
      </c>
      <c r="F135" s="150" t="str">
        <f>DISEÑO!N117</f>
        <v/>
      </c>
      <c r="G135" s="150" t="str">
        <f>'DISEÑO POR SISMO'!P61</f>
        <v/>
      </c>
      <c r="H135" s="150" t="str">
        <f>'DISEÑO FINAL'!G111</f>
        <v/>
      </c>
      <c r="I135" s="150" t="str">
        <f t="shared" si="2"/>
        <v/>
      </c>
    </row>
    <row r="136" spans="1:9" x14ac:dyDescent="0.25">
      <c r="A136" s="149" t="str">
        <f>'DISEÑO FINAL'!D112</f>
        <v/>
      </c>
      <c r="B136" s="150" t="str">
        <f>'DISEÑO FINAL'!E112</f>
        <v/>
      </c>
      <c r="C136" s="168" t="str">
        <f>DISEÑO!K83</f>
        <v/>
      </c>
      <c r="D136" s="150" t="str">
        <f>DISEÑO!N46</f>
        <v/>
      </c>
      <c r="E136" s="150" t="str">
        <f>'DISEÑO FINAL'!F112</f>
        <v/>
      </c>
      <c r="F136" s="150" t="str">
        <f>DISEÑO!N118</f>
        <v/>
      </c>
      <c r="G136" s="150" t="str">
        <f>'DISEÑO POR SISMO'!P62</f>
        <v/>
      </c>
      <c r="H136" s="150" t="str">
        <f>'DISEÑO FINAL'!G112</f>
        <v/>
      </c>
      <c r="I136" s="150" t="str">
        <f t="shared" si="2"/>
        <v/>
      </c>
    </row>
    <row r="137" spans="1:9" x14ac:dyDescent="0.25">
      <c r="A137" s="149" t="str">
        <f>'DISEÑO FINAL'!D113</f>
        <v/>
      </c>
      <c r="B137" s="150" t="str">
        <f>'DISEÑO FINAL'!E113</f>
        <v/>
      </c>
      <c r="C137" s="168" t="str">
        <f>DISEÑO!K84</f>
        <v/>
      </c>
      <c r="D137" s="150" t="str">
        <f>DISEÑO!N47</f>
        <v/>
      </c>
      <c r="E137" s="150" t="str">
        <f>'DISEÑO FINAL'!F113</f>
        <v/>
      </c>
      <c r="F137" s="150" t="str">
        <f>DISEÑO!N119</f>
        <v/>
      </c>
      <c r="G137" s="150" t="str">
        <f>'DISEÑO POR SISMO'!P63</f>
        <v/>
      </c>
      <c r="H137" s="150" t="str">
        <f>'DISEÑO FINAL'!G113</f>
        <v/>
      </c>
      <c r="I137" s="150" t="str">
        <f t="shared" si="2"/>
        <v/>
      </c>
    </row>
    <row r="138" spans="1:9" x14ac:dyDescent="0.25">
      <c r="A138" s="149" t="str">
        <f>'DISEÑO FINAL'!D114</f>
        <v/>
      </c>
      <c r="B138" s="150" t="str">
        <f>'DISEÑO FINAL'!E114</f>
        <v/>
      </c>
      <c r="C138" s="168" t="str">
        <f>DISEÑO!K85</f>
        <v/>
      </c>
      <c r="D138" s="150" t="str">
        <f>DISEÑO!N48</f>
        <v/>
      </c>
      <c r="E138" s="150" t="str">
        <f>'DISEÑO FINAL'!F114</f>
        <v/>
      </c>
      <c r="F138" s="150" t="str">
        <f>DISEÑO!N120</f>
        <v/>
      </c>
      <c r="G138" s="150" t="str">
        <f>'DISEÑO POR SISMO'!P64</f>
        <v/>
      </c>
      <c r="H138" s="150" t="str">
        <f>'DISEÑO FINAL'!G114</f>
        <v/>
      </c>
      <c r="I138" s="150" t="str">
        <f t="shared" si="2"/>
        <v/>
      </c>
    </row>
    <row r="139" spans="1:9" x14ac:dyDescent="0.25">
      <c r="A139" s="149" t="str">
        <f>'DISEÑO FINAL'!D115</f>
        <v/>
      </c>
      <c r="B139" s="150" t="str">
        <f>'DISEÑO FINAL'!E115</f>
        <v/>
      </c>
      <c r="C139" s="168" t="str">
        <f>DISEÑO!K86</f>
        <v/>
      </c>
      <c r="D139" s="150" t="str">
        <f>DISEÑO!N49</f>
        <v/>
      </c>
      <c r="E139" s="150" t="str">
        <f>'DISEÑO FINAL'!F115</f>
        <v/>
      </c>
      <c r="F139" s="150" t="str">
        <f>DISEÑO!N121</f>
        <v/>
      </c>
      <c r="G139" s="150" t="str">
        <f>'DISEÑO POR SISMO'!P65</f>
        <v/>
      </c>
      <c r="H139" s="150" t="str">
        <f>'DISEÑO FINAL'!G115</f>
        <v/>
      </c>
      <c r="I139" s="150" t="str">
        <f t="shared" si="2"/>
        <v/>
      </c>
    </row>
    <row r="140" spans="1:9" x14ac:dyDescent="0.25">
      <c r="A140" s="149" t="str">
        <f>'DISEÑO FINAL'!D116</f>
        <v/>
      </c>
      <c r="B140" s="150" t="str">
        <f>'DISEÑO FINAL'!E116</f>
        <v/>
      </c>
      <c r="C140" s="168" t="str">
        <f>DISEÑO!K87</f>
        <v/>
      </c>
      <c r="D140" s="150" t="str">
        <f>DISEÑO!N50</f>
        <v/>
      </c>
      <c r="E140" s="150" t="str">
        <f>'DISEÑO FINAL'!F116</f>
        <v/>
      </c>
      <c r="F140" s="150" t="str">
        <f>DISEÑO!N122</f>
        <v/>
      </c>
      <c r="G140" s="150" t="str">
        <f>'DISEÑO POR SISMO'!P66</f>
        <v/>
      </c>
      <c r="H140" s="150" t="str">
        <f>'DISEÑO FINAL'!G116</f>
        <v/>
      </c>
      <c r="I140" s="150" t="str">
        <f t="shared" si="2"/>
        <v/>
      </c>
    </row>
    <row r="141" spans="1:9" x14ac:dyDescent="0.25">
      <c r="A141" s="149" t="str">
        <f>'DISEÑO FINAL'!D117</f>
        <v/>
      </c>
      <c r="B141" s="150" t="str">
        <f>'DISEÑO FINAL'!E117</f>
        <v/>
      </c>
      <c r="C141" s="168" t="str">
        <f>DISEÑO!K88</f>
        <v/>
      </c>
      <c r="D141" s="150" t="str">
        <f>DISEÑO!N51</f>
        <v/>
      </c>
      <c r="E141" s="150" t="str">
        <f>'DISEÑO FINAL'!F117</f>
        <v/>
      </c>
      <c r="F141" s="150" t="str">
        <f>DISEÑO!N123</f>
        <v/>
      </c>
      <c r="G141" s="150" t="str">
        <f>'DISEÑO POR SISMO'!P67</f>
        <v/>
      </c>
      <c r="H141" s="150" t="str">
        <f>'DISEÑO FINAL'!G117</f>
        <v/>
      </c>
      <c r="I141" s="150" t="str">
        <f t="shared" si="2"/>
        <v/>
      </c>
    </row>
    <row r="142" spans="1:9" x14ac:dyDescent="0.25">
      <c r="A142" s="149" t="str">
        <f>'DISEÑO FINAL'!D118</f>
        <v/>
      </c>
      <c r="B142" s="150" t="str">
        <f>'DISEÑO FINAL'!E118</f>
        <v/>
      </c>
      <c r="C142" s="168" t="str">
        <f>DISEÑO!K89</f>
        <v/>
      </c>
      <c r="D142" s="150" t="str">
        <f>DISEÑO!N52</f>
        <v/>
      </c>
      <c r="E142" s="150" t="str">
        <f>'DISEÑO FINAL'!F118</f>
        <v/>
      </c>
      <c r="F142" s="150" t="str">
        <f>DISEÑO!N124</f>
        <v/>
      </c>
      <c r="G142" s="150" t="str">
        <f>'DISEÑO POR SISMO'!P68</f>
        <v/>
      </c>
      <c r="H142" s="150" t="str">
        <f>'DISEÑO FINAL'!G118</f>
        <v/>
      </c>
      <c r="I142" s="150" t="str">
        <f t="shared" si="2"/>
        <v/>
      </c>
    </row>
    <row r="143" spans="1:9" x14ac:dyDescent="0.25">
      <c r="A143" s="149" t="str">
        <f>'DISEÑO FINAL'!D119</f>
        <v/>
      </c>
      <c r="B143" s="150" t="str">
        <f>'DISEÑO FINAL'!E119</f>
        <v/>
      </c>
      <c r="C143" s="168" t="str">
        <f>DISEÑO!K90</f>
        <v/>
      </c>
      <c r="D143" s="150" t="str">
        <f>DISEÑO!N53</f>
        <v/>
      </c>
      <c r="E143" s="150" t="str">
        <f>'DISEÑO FINAL'!F119</f>
        <v/>
      </c>
      <c r="F143" s="150" t="str">
        <f>DISEÑO!N125</f>
        <v/>
      </c>
      <c r="G143" s="150" t="str">
        <f>'DISEÑO POR SISMO'!P69</f>
        <v/>
      </c>
      <c r="H143" s="150" t="str">
        <f>'DISEÑO FINAL'!G119</f>
        <v/>
      </c>
      <c r="I143" s="150" t="str">
        <f t="shared" si="2"/>
        <v/>
      </c>
    </row>
    <row r="144" spans="1:9" x14ac:dyDescent="0.25">
      <c r="A144" s="149" t="str">
        <f>'DISEÑO FINAL'!D120</f>
        <v/>
      </c>
      <c r="B144" s="150" t="str">
        <f>'DISEÑO FINAL'!E120</f>
        <v/>
      </c>
      <c r="C144" s="168" t="str">
        <f>DISEÑO!K91</f>
        <v/>
      </c>
      <c r="D144" s="150" t="str">
        <f>DISEÑO!N54</f>
        <v/>
      </c>
      <c r="E144" s="150" t="str">
        <f>'DISEÑO FINAL'!F120</f>
        <v/>
      </c>
      <c r="F144" s="150" t="str">
        <f>DISEÑO!N126</f>
        <v/>
      </c>
      <c r="G144" s="150" t="str">
        <f>'DISEÑO POR SISMO'!P70</f>
        <v/>
      </c>
      <c r="H144" s="150" t="str">
        <f>'DISEÑO FINAL'!G120</f>
        <v/>
      </c>
      <c r="I144" s="150" t="str">
        <f t="shared" si="2"/>
        <v/>
      </c>
    </row>
    <row r="145" spans="1:9" x14ac:dyDescent="0.25">
      <c r="A145" s="149" t="str">
        <f>'DISEÑO FINAL'!D121</f>
        <v/>
      </c>
      <c r="B145" s="150" t="str">
        <f>'DISEÑO FINAL'!E121</f>
        <v/>
      </c>
      <c r="C145" s="168" t="str">
        <f>DISEÑO!K92</f>
        <v/>
      </c>
      <c r="D145" s="150" t="str">
        <f>DISEÑO!N55</f>
        <v/>
      </c>
      <c r="E145" s="150" t="str">
        <f>'DISEÑO FINAL'!F121</f>
        <v/>
      </c>
      <c r="F145" s="150" t="str">
        <f>DISEÑO!N127</f>
        <v/>
      </c>
      <c r="G145" s="150" t="str">
        <f>'DISEÑO POR SISMO'!P71</f>
        <v/>
      </c>
      <c r="H145" s="150" t="str">
        <f>'DISEÑO FINAL'!G121</f>
        <v/>
      </c>
      <c r="I145" s="150" t="str">
        <f t="shared" si="2"/>
        <v/>
      </c>
    </row>
    <row r="146" spans="1:9" x14ac:dyDescent="0.25">
      <c r="A146" s="149" t="str">
        <f>'DISEÑO FINAL'!D122</f>
        <v/>
      </c>
      <c r="B146" s="150" t="str">
        <f>'DISEÑO FINAL'!E122</f>
        <v/>
      </c>
      <c r="C146" s="168" t="str">
        <f>DISEÑO!K93</f>
        <v/>
      </c>
      <c r="D146" s="150" t="str">
        <f>DISEÑO!N56</f>
        <v/>
      </c>
      <c r="E146" s="150" t="str">
        <f>'DISEÑO FINAL'!F122</f>
        <v/>
      </c>
      <c r="F146" s="150" t="str">
        <f>DISEÑO!N128</f>
        <v/>
      </c>
      <c r="G146" s="150" t="str">
        <f>'DISEÑO POR SISMO'!P72</f>
        <v/>
      </c>
      <c r="H146" s="150" t="str">
        <f>'DISEÑO FINAL'!G122</f>
        <v/>
      </c>
      <c r="I146" s="150" t="str">
        <f t="shared" si="2"/>
        <v/>
      </c>
    </row>
    <row r="147" spans="1:9" x14ac:dyDescent="0.25">
      <c r="A147" s="149" t="str">
        <f>'DISEÑO FINAL'!D123</f>
        <v/>
      </c>
      <c r="B147" s="150" t="str">
        <f>'DISEÑO FINAL'!E123</f>
        <v/>
      </c>
      <c r="C147" s="168" t="str">
        <f>DISEÑO!K94</f>
        <v/>
      </c>
      <c r="D147" s="150" t="str">
        <f>DISEÑO!N57</f>
        <v/>
      </c>
      <c r="E147" s="150" t="str">
        <f>'DISEÑO FINAL'!F123</f>
        <v/>
      </c>
      <c r="F147" s="150" t="str">
        <f>DISEÑO!N129</f>
        <v/>
      </c>
      <c r="G147" s="150" t="str">
        <f>'DISEÑO POR SISMO'!P73</f>
        <v/>
      </c>
      <c r="H147" s="150" t="str">
        <f>'DISEÑO FINAL'!G123</f>
        <v/>
      </c>
      <c r="I147" s="150" t="str">
        <f t="shared" si="2"/>
        <v/>
      </c>
    </row>
    <row r="148" spans="1:9" x14ac:dyDescent="0.25">
      <c r="A148" s="149" t="str">
        <f>'DISEÑO FINAL'!D124</f>
        <v/>
      </c>
      <c r="B148" s="150" t="str">
        <f>'DISEÑO FINAL'!E124</f>
        <v/>
      </c>
      <c r="C148" s="168" t="str">
        <f>DISEÑO!K95</f>
        <v/>
      </c>
      <c r="D148" s="150" t="str">
        <f>DISEÑO!N58</f>
        <v/>
      </c>
      <c r="E148" s="150" t="str">
        <f>'DISEÑO FINAL'!F124</f>
        <v/>
      </c>
      <c r="F148" s="150" t="str">
        <f>DISEÑO!N130</f>
        <v/>
      </c>
      <c r="G148" s="150" t="str">
        <f>'DISEÑO POR SISMO'!P74</f>
        <v/>
      </c>
      <c r="H148" s="150" t="str">
        <f>'DISEÑO FINAL'!G124</f>
        <v/>
      </c>
      <c r="I148" s="150" t="str">
        <f t="shared" si="2"/>
        <v/>
      </c>
    </row>
    <row r="149" spans="1:9" x14ac:dyDescent="0.25">
      <c r="I149" s="150"/>
    </row>
  </sheetData>
  <mergeCells count="14">
    <mergeCell ref="A13:C13"/>
    <mergeCell ref="A14:C14"/>
    <mergeCell ref="B1:G1"/>
    <mergeCell ref="B3:G4"/>
    <mergeCell ref="D13:I13"/>
    <mergeCell ref="D14:I14"/>
    <mergeCell ref="A11:I11"/>
    <mergeCell ref="A57:I57"/>
    <mergeCell ref="A17:C17"/>
    <mergeCell ref="A16:C16"/>
    <mergeCell ref="A15:C15"/>
    <mergeCell ref="D15:I15"/>
    <mergeCell ref="D16:I16"/>
    <mergeCell ref="D17:I18"/>
  </mergeCells>
  <pageMargins left="0.70866141732283472" right="0.70866141732283472" top="0.74803149606299213" bottom="0.74803149606299213" header="0.31496062992125984" footer="0.31496062992125984"/>
  <pageSetup scale="6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S170"/>
  <sheetViews>
    <sheetView showGridLines="0" tabSelected="1" zoomScale="70" zoomScaleNormal="70" zoomScaleSheetLayoutView="70" workbookViewId="0">
      <selection activeCell="S63" sqref="S63"/>
    </sheetView>
  </sheetViews>
  <sheetFormatPr baseColWidth="10" defaultRowHeight="15" x14ac:dyDescent="0.25"/>
  <cols>
    <col min="1" max="1" width="13.140625" customWidth="1"/>
    <col min="3" max="3" width="12.42578125" customWidth="1"/>
    <col min="4" max="4" width="14.42578125" bestFit="1" customWidth="1"/>
    <col min="5" max="5" width="11.42578125" hidden="1" customWidth="1"/>
    <col min="6" max="6" width="14.28515625" hidden="1" customWidth="1"/>
    <col min="7" max="9" width="11.42578125" hidden="1" customWidth="1"/>
    <col min="15" max="15" width="30.7109375" customWidth="1"/>
    <col min="16" max="16" width="27.5703125" customWidth="1"/>
    <col min="17" max="17" width="14.5703125" customWidth="1"/>
    <col min="18" max="18" width="12.42578125" customWidth="1"/>
  </cols>
  <sheetData>
    <row r="1" spans="1:14" s="5" customFormat="1" x14ac:dyDescent="0.25">
      <c r="C1" s="214" t="s">
        <v>10</v>
      </c>
      <c r="D1" s="214"/>
      <c r="E1" s="214"/>
      <c r="F1" s="214"/>
      <c r="G1" s="214"/>
      <c r="H1" s="214"/>
      <c r="I1" s="214"/>
    </row>
    <row r="2" spans="1:14" s="5" customFormat="1" x14ac:dyDescent="0.25">
      <c r="C2" s="214"/>
      <c r="D2" s="214"/>
      <c r="E2" s="214"/>
      <c r="F2" s="214"/>
      <c r="G2" s="214"/>
      <c r="H2" s="214"/>
      <c r="I2" s="214"/>
    </row>
    <row r="3" spans="1:14" s="5" customFormat="1" x14ac:dyDescent="0.25">
      <c r="C3" s="214" t="s">
        <v>11</v>
      </c>
      <c r="D3" s="214"/>
      <c r="E3" s="214"/>
      <c r="F3" s="214"/>
      <c r="G3" s="214"/>
      <c r="H3" s="214"/>
      <c r="I3" s="214"/>
    </row>
    <row r="4" spans="1:14" s="5" customFormat="1" x14ac:dyDescent="0.25">
      <c r="C4" s="214"/>
      <c r="D4" s="214"/>
      <c r="E4" s="214"/>
      <c r="F4" s="214"/>
      <c r="G4" s="214"/>
      <c r="H4" s="214"/>
      <c r="I4" s="214"/>
    </row>
    <row r="5" spans="1:14" s="5" customFormat="1" x14ac:dyDescent="0.25"/>
    <row r="6" spans="1:14" s="5" customFormat="1" x14ac:dyDescent="0.25"/>
    <row r="7" spans="1:14" s="5" customFormat="1" x14ac:dyDescent="0.25"/>
    <row r="8" spans="1:14" s="5" customFormat="1" x14ac:dyDescent="0.25"/>
    <row r="9" spans="1:14" s="5" customFormat="1" x14ac:dyDescent="0.25"/>
    <row r="10" spans="1:14" s="5" customFormat="1" ht="23.25" x14ac:dyDescent="0.35">
      <c r="D10" s="217" t="s">
        <v>261</v>
      </c>
      <c r="E10" s="217"/>
      <c r="F10" s="217"/>
      <c r="G10" s="217"/>
      <c r="H10" s="217"/>
      <c r="I10" s="217"/>
    </row>
    <row r="11" spans="1:14" s="147" customFormat="1" ht="15.75" x14ac:dyDescent="0.25">
      <c r="A11" s="231" t="s">
        <v>222</v>
      </c>
      <c r="B11" s="231"/>
      <c r="C11" s="231"/>
      <c r="D11" s="234" t="s">
        <v>301</v>
      </c>
      <c r="E11" s="234"/>
      <c r="F11" s="234"/>
      <c r="G11" s="234"/>
      <c r="H11" s="234"/>
      <c r="I11" s="234"/>
      <c r="J11" s="234"/>
      <c r="K11" s="234"/>
      <c r="L11" s="234"/>
      <c r="M11" s="234"/>
      <c r="N11" s="234"/>
    </row>
    <row r="12" spans="1:14" s="147" customFormat="1" ht="15.75" customHeight="1" x14ac:dyDescent="0.25">
      <c r="A12" s="231" t="s">
        <v>223</v>
      </c>
      <c r="B12" s="231"/>
      <c r="C12" s="231"/>
      <c r="D12" s="237" t="s">
        <v>302</v>
      </c>
      <c r="E12" s="237"/>
      <c r="F12" s="237"/>
      <c r="G12" s="237"/>
      <c r="H12" s="237"/>
      <c r="I12" s="237"/>
      <c r="J12" s="237"/>
      <c r="K12" s="237"/>
      <c r="L12" s="237"/>
      <c r="M12" s="237"/>
      <c r="N12" s="237"/>
    </row>
    <row r="13" spans="1:14" s="147" customFormat="1" ht="15.75" customHeight="1" x14ac:dyDescent="0.25">
      <c r="A13" s="231" t="s">
        <v>224</v>
      </c>
      <c r="B13" s="231"/>
      <c r="C13" s="231"/>
      <c r="D13" s="237" t="s">
        <v>303</v>
      </c>
      <c r="E13" s="237"/>
      <c r="F13" s="237"/>
      <c r="G13" s="237"/>
      <c r="H13" s="237"/>
      <c r="I13" s="237"/>
      <c r="J13" s="237"/>
      <c r="K13" s="237"/>
      <c r="L13" s="237"/>
      <c r="M13" s="237"/>
      <c r="N13" s="237"/>
    </row>
    <row r="14" spans="1:14" s="147" customFormat="1" ht="15.75" customHeight="1" x14ac:dyDescent="0.25">
      <c r="A14" s="231" t="s">
        <v>225</v>
      </c>
      <c r="B14" s="231"/>
      <c r="C14" s="231"/>
      <c r="D14" s="237" t="s">
        <v>307</v>
      </c>
      <c r="E14" s="237"/>
      <c r="F14" s="237"/>
      <c r="G14" s="237"/>
      <c r="H14" s="237"/>
      <c r="I14" s="237"/>
      <c r="J14" s="237"/>
      <c r="K14" s="237"/>
      <c r="L14" s="237"/>
      <c r="M14" s="237"/>
      <c r="N14" s="237"/>
    </row>
    <row r="15" spans="1:14" s="147" customFormat="1" ht="15" customHeight="1" x14ac:dyDescent="0.25">
      <c r="A15" s="231" t="s">
        <v>226</v>
      </c>
      <c r="B15" s="231"/>
      <c r="C15" s="231"/>
      <c r="D15" s="232" t="s">
        <v>304</v>
      </c>
      <c r="E15" s="232"/>
      <c r="F15" s="232"/>
      <c r="G15" s="232"/>
      <c r="H15" s="232"/>
      <c r="I15" s="232"/>
      <c r="J15" s="232"/>
      <c r="K15" s="232"/>
      <c r="L15" s="232"/>
      <c r="M15" s="232"/>
      <c r="N15" s="232"/>
    </row>
    <row r="16" spans="1:14" s="147" customFormat="1" ht="15" customHeight="1" x14ac:dyDescent="0.25">
      <c r="D16" s="232"/>
      <c r="E16" s="232"/>
      <c r="F16" s="232"/>
      <c r="G16" s="232"/>
      <c r="H16" s="232"/>
      <c r="I16" s="232"/>
      <c r="J16" s="232"/>
      <c r="K16" s="232"/>
      <c r="L16" s="232"/>
      <c r="M16" s="232"/>
      <c r="N16" s="232"/>
    </row>
    <row r="17" spans="1:12" s="147" customFormat="1" ht="15" customHeight="1" x14ac:dyDescent="0.25">
      <c r="A17" s="183" t="s">
        <v>275</v>
      </c>
      <c r="B17" s="153"/>
      <c r="C17" s="153"/>
      <c r="D17" s="151"/>
      <c r="E17" s="151"/>
      <c r="F17" s="151"/>
      <c r="G17" s="151"/>
      <c r="H17" s="151"/>
      <c r="I17" s="151"/>
      <c r="J17" s="151"/>
      <c r="K17" s="151"/>
      <c r="L17" s="151"/>
    </row>
    <row r="18" spans="1:12" s="147" customFormat="1" ht="15" customHeight="1" x14ac:dyDescent="0.25">
      <c r="A18" s="153"/>
      <c r="B18" s="157" t="s">
        <v>234</v>
      </c>
      <c r="C18" s="157">
        <f>'GEOMETRIA DEL MURO'!F10</f>
        <v>3.73</v>
      </c>
      <c r="D18" s="163" t="str">
        <f>'GEOMETRIA DEL MURO'!G10</f>
        <v>m</v>
      </c>
      <c r="E18" s="151"/>
      <c r="F18" s="151"/>
      <c r="G18" s="151"/>
      <c r="H18" s="151"/>
      <c r="I18" s="151"/>
    </row>
    <row r="19" spans="1:12" s="147" customFormat="1" ht="15" customHeight="1" x14ac:dyDescent="0.25">
      <c r="A19" s="153"/>
      <c r="B19" s="153" t="s">
        <v>235</v>
      </c>
      <c r="C19" s="153"/>
      <c r="D19" s="151"/>
      <c r="E19" s="151"/>
      <c r="F19" s="151"/>
      <c r="G19" s="151"/>
      <c r="H19" s="151"/>
      <c r="I19" s="151"/>
    </row>
    <row r="20" spans="1:12" s="147" customFormat="1" ht="15" customHeight="1" x14ac:dyDescent="0.25">
      <c r="A20" s="153"/>
      <c r="B20" s="153"/>
      <c r="C20" s="153" t="str">
        <f>'PROPIEDADES DE LOS SUELOS'!B13</f>
        <v>Suelo de cimentación o de desplante:</v>
      </c>
      <c r="D20" s="151"/>
      <c r="E20" s="151"/>
      <c r="F20" s="151"/>
      <c r="G20" s="151"/>
      <c r="H20" s="151"/>
      <c r="I20" s="151"/>
    </row>
    <row r="21" spans="1:12" s="147" customFormat="1" ht="15" customHeight="1" x14ac:dyDescent="0.35">
      <c r="A21" s="153"/>
      <c r="B21" s="153"/>
      <c r="C21" s="153"/>
      <c r="D21" s="154" t="s">
        <v>271</v>
      </c>
      <c r="E21" s="172">
        <f>'PROPIEDADES DE LOS SUELOS'!C14</f>
        <v>16.43</v>
      </c>
      <c r="F21" s="152" t="str">
        <f>'PROPIEDADES DE LOS SUELOS'!D14</f>
        <v>KN/m3</v>
      </c>
      <c r="G21" s="151"/>
      <c r="H21" s="151"/>
      <c r="I21" s="151"/>
    </row>
    <row r="22" spans="1:12" s="147" customFormat="1" ht="15" customHeight="1" x14ac:dyDescent="0.35">
      <c r="A22" s="153"/>
      <c r="B22" s="153"/>
      <c r="C22" s="153"/>
      <c r="D22" s="155" t="s">
        <v>280</v>
      </c>
      <c r="E22" s="172">
        <f>'PROPIEDADES DE LOS SUELOS'!C15</f>
        <v>99</v>
      </c>
      <c r="F22" s="152" t="str">
        <f>'PROPIEDADES DE LOS SUELOS'!D15</f>
        <v>KN/m2</v>
      </c>
      <c r="G22" s="151"/>
      <c r="H22" s="151"/>
      <c r="I22" s="151"/>
    </row>
    <row r="23" spans="1:12" s="147" customFormat="1" ht="18.75" x14ac:dyDescent="0.35">
      <c r="D23" s="154" t="s">
        <v>281</v>
      </c>
      <c r="E23" s="172">
        <f>'PROPIEDADES DE LOS SUELOS'!C16</f>
        <v>28</v>
      </c>
      <c r="F23" s="152" t="str">
        <f>'PROPIEDADES DE LOS SUELOS'!D16</f>
        <v>°</v>
      </c>
    </row>
    <row r="24" spans="1:12" s="147" customFormat="1" ht="15.75" x14ac:dyDescent="0.25">
      <c r="C24" s="158" t="str">
        <f>'PROPIEDADES DE LOS SUELOS'!B18</f>
        <v>Relleno retenido:</v>
      </c>
      <c r="D24" s="154"/>
      <c r="E24" s="172"/>
    </row>
    <row r="25" spans="1:12" s="147" customFormat="1" ht="18.75" x14ac:dyDescent="0.35">
      <c r="D25" s="154" t="s">
        <v>236</v>
      </c>
      <c r="E25" s="172">
        <f>'PROPIEDADES DE LOS SUELOS'!C19</f>
        <v>18</v>
      </c>
      <c r="F25" s="152" t="str">
        <f>'PROPIEDADES DE LOS SUELOS'!D19</f>
        <v>KN/m3</v>
      </c>
    </row>
    <row r="26" spans="1:12" s="147" customFormat="1" ht="18.75" x14ac:dyDescent="0.35">
      <c r="D26" s="155" t="s">
        <v>237</v>
      </c>
      <c r="E26" s="172">
        <f>'PROPIEDADES DE LOS SUELOS'!C20</f>
        <v>10</v>
      </c>
      <c r="F26" s="152" t="str">
        <f>'PROPIEDADES DE LOS SUELOS'!D20</f>
        <v>KN/m2</v>
      </c>
    </row>
    <row r="27" spans="1:12" s="147" customFormat="1" ht="18.75" x14ac:dyDescent="0.35">
      <c r="D27" s="154" t="s">
        <v>238</v>
      </c>
      <c r="E27" s="172">
        <f>'PROPIEDADES DE LOS SUELOS'!C21</f>
        <v>30</v>
      </c>
      <c r="F27" s="152" t="str">
        <f>'PROPIEDADES DE LOS SUELOS'!D21</f>
        <v>°</v>
      </c>
    </row>
    <row r="28" spans="1:12" s="147" customFormat="1" ht="15.75" x14ac:dyDescent="0.25">
      <c r="C28" s="147" t="str">
        <f>'PROPIEDADES DE LOS SUELOS'!B23</f>
        <v>Masa de suelo reforzado:</v>
      </c>
      <c r="D28" s="154"/>
      <c r="E28" s="172"/>
    </row>
    <row r="29" spans="1:12" s="147" customFormat="1" ht="18.75" x14ac:dyDescent="0.35">
      <c r="D29" s="154" t="s">
        <v>239</v>
      </c>
      <c r="E29" s="172">
        <f>'PROPIEDADES DE LOS SUELOS'!C24</f>
        <v>18</v>
      </c>
      <c r="F29" s="152" t="str">
        <f>'PROPIEDADES DE LOS SUELOS'!D24</f>
        <v>KN/m3</v>
      </c>
    </row>
    <row r="30" spans="1:12" s="147" customFormat="1" ht="18.75" x14ac:dyDescent="0.35">
      <c r="D30" s="155" t="s">
        <v>240</v>
      </c>
      <c r="E30" s="172">
        <f>'PROPIEDADES DE LOS SUELOS'!C25</f>
        <v>10</v>
      </c>
      <c r="F30" s="152" t="str">
        <f>'PROPIEDADES DE LOS SUELOS'!D25</f>
        <v>KN/m2</v>
      </c>
    </row>
    <row r="31" spans="1:12" s="147" customFormat="1" ht="18.75" x14ac:dyDescent="0.35">
      <c r="D31" s="154" t="s">
        <v>241</v>
      </c>
      <c r="E31" s="172">
        <f>'PROPIEDADES DE LOS SUELOS'!C26</f>
        <v>30</v>
      </c>
      <c r="F31" s="152" t="str">
        <f>'PROPIEDADES DE LOS SUELOS'!D26</f>
        <v>°</v>
      </c>
    </row>
    <row r="32" spans="1:12" s="147" customFormat="1" ht="15.75" x14ac:dyDescent="0.25">
      <c r="A32" s="160"/>
      <c r="C32" s="158"/>
      <c r="D32" s="160"/>
      <c r="E32" s="160"/>
      <c r="F32" s="160"/>
      <c r="G32" s="160"/>
      <c r="H32" s="160"/>
      <c r="J32" s="160"/>
      <c r="K32" s="160"/>
    </row>
    <row r="33" spans="1:14" s="147" customFormat="1" ht="15.75" x14ac:dyDescent="0.25">
      <c r="A33" s="184" t="s">
        <v>284</v>
      </c>
    </row>
    <row r="34" spans="1:14" s="147" customFormat="1" ht="15.75" x14ac:dyDescent="0.25">
      <c r="A34" s="48"/>
      <c r="C34" s="147" t="str">
        <f>REVISION!A13</f>
        <v>Condiciones para el análisis de estabilidad externa.</v>
      </c>
    </row>
    <row r="35" spans="1:14" s="147" customFormat="1" ht="15.75" x14ac:dyDescent="0.25">
      <c r="A35" s="48"/>
      <c r="D35" s="48" t="str">
        <f>REVISION!B14</f>
        <v>Condición de excentricidad "e":</v>
      </c>
      <c r="K35" s="162" t="s">
        <v>246</v>
      </c>
    </row>
    <row r="36" spans="1:14" s="147" customFormat="1" ht="15.75" x14ac:dyDescent="0.25">
      <c r="A36" s="48"/>
      <c r="D36" s="48" t="str">
        <f>REVISION!$B$27</f>
        <v>Condición del Factor de Seguridad por deslizamiento del muro "F.S.des":</v>
      </c>
      <c r="K36" s="163">
        <v>1.5</v>
      </c>
    </row>
    <row r="37" spans="1:14" s="147" customFormat="1" ht="15.75" x14ac:dyDescent="0.25">
      <c r="A37" s="48"/>
      <c r="D37" s="147" t="str">
        <f>REVISION!$B$43</f>
        <v>Condición del Factor de Seguridad por volteo del muro "F.S.V:</v>
      </c>
      <c r="K37" s="163">
        <v>2.5</v>
      </c>
    </row>
    <row r="38" spans="1:14" s="147" customFormat="1" ht="15.75" x14ac:dyDescent="0.25">
      <c r="A38" s="48"/>
      <c r="C38" s="147" t="str">
        <f>REVISION!A64</f>
        <v>Condiciones para el análisis de estabilidad interna.</v>
      </c>
      <c r="K38" s="163"/>
    </row>
    <row r="39" spans="1:14" s="147" customFormat="1" ht="18.75" x14ac:dyDescent="0.35">
      <c r="A39" s="48"/>
      <c r="D39" s="147" t="str">
        <f>REVISION!B65</f>
        <v>Condición del Esfuerzo Vertical:</v>
      </c>
      <c r="K39" s="162" t="s">
        <v>252</v>
      </c>
    </row>
    <row r="40" spans="1:14" s="147" customFormat="1" ht="15.75" x14ac:dyDescent="0.25">
      <c r="A40" s="48"/>
      <c r="D40" s="147" t="str">
        <f>REVISION!B77</f>
        <v>Condición de factor de seguridad de la primera capa de refuerzo:</v>
      </c>
      <c r="K40" s="164">
        <v>1.5</v>
      </c>
    </row>
    <row r="41" spans="1:14" s="147" customFormat="1" ht="15.75" x14ac:dyDescent="0.25">
      <c r="K41" s="163"/>
    </row>
    <row r="42" spans="1:14" s="147" customFormat="1" ht="15.75" x14ac:dyDescent="0.25">
      <c r="A42" s="48" t="s">
        <v>282</v>
      </c>
      <c r="K42" s="163"/>
    </row>
    <row r="43" spans="1:14" s="147" customFormat="1" ht="15.75" x14ac:dyDescent="0.25">
      <c r="B43" s="147" t="s">
        <v>254</v>
      </c>
      <c r="K43" s="169">
        <f>'CARGAS DISTRIBUIDAS'!B13</f>
        <v>25</v>
      </c>
      <c r="L43" s="150" t="str">
        <f>'CARGAS DISTRIBUIDAS'!C13</f>
        <v>KN/m · m</v>
      </c>
    </row>
    <row r="44" spans="1:14" s="147" customFormat="1" ht="15.75" x14ac:dyDescent="0.25">
      <c r="B44" s="147" t="s">
        <v>283</v>
      </c>
      <c r="K44" s="169">
        <f>'CARGAS DISTRIBUIDAS'!C39</f>
        <v>0.17</v>
      </c>
    </row>
    <row r="45" spans="1:14" s="147" customFormat="1" ht="15.75" x14ac:dyDescent="0.25">
      <c r="B45" s="147" t="s">
        <v>255</v>
      </c>
      <c r="K45" s="163"/>
    </row>
    <row r="46" spans="1:14" s="147" customFormat="1" ht="15.75" x14ac:dyDescent="0.25">
      <c r="E46" s="147" t="s">
        <v>256</v>
      </c>
      <c r="K46" s="169">
        <f>'CARGAS CONCENTRADAS'!$D$34</f>
        <v>0</v>
      </c>
      <c r="L46" s="150" t="str">
        <f>'CARGAS CONCENTRADAS'!$E$34</f>
        <v>KN/m2</v>
      </c>
    </row>
    <row r="47" spans="1:14" s="147" customFormat="1" ht="15.75" x14ac:dyDescent="0.25">
      <c r="E47" s="147" t="s">
        <v>257</v>
      </c>
      <c r="K47" s="169">
        <f>'CARGAS CONCENTRADAS'!$D$59</f>
        <v>0</v>
      </c>
      <c r="L47" s="150" t="str">
        <f>'CARGAS CONCENTRADAS'!$E$59</f>
        <v>KN/m2</v>
      </c>
      <c r="M47" s="148" t="s">
        <v>229</v>
      </c>
      <c r="N47" s="144" t="s">
        <v>305</v>
      </c>
    </row>
    <row r="48" spans="1:14" x14ac:dyDescent="0.25">
      <c r="N48" s="144" t="s">
        <v>306</v>
      </c>
    </row>
    <row r="49" spans="1:19" ht="15.75" x14ac:dyDescent="0.25">
      <c r="N49" s="139"/>
      <c r="P49" s="147"/>
    </row>
    <row r="50" spans="1:19" ht="15.75" x14ac:dyDescent="0.25">
      <c r="A50" s="236" t="s">
        <v>270</v>
      </c>
      <c r="B50" s="236"/>
      <c r="C50" s="236"/>
      <c r="D50" s="236"/>
      <c r="E50" s="236"/>
      <c r="F50" s="236"/>
      <c r="G50" s="236"/>
      <c r="H50" s="236"/>
      <c r="I50" s="236"/>
      <c r="J50" s="236"/>
      <c r="K50" s="236"/>
      <c r="L50" s="236"/>
      <c r="M50" s="236"/>
      <c r="N50" s="236"/>
      <c r="O50" s="236"/>
    </row>
    <row r="51" spans="1:19" ht="47.25" x14ac:dyDescent="0.25">
      <c r="A51" s="190" t="s">
        <v>144</v>
      </c>
      <c r="B51" s="191" t="s">
        <v>263</v>
      </c>
      <c r="C51" s="190" t="s">
        <v>131</v>
      </c>
      <c r="D51" s="190" t="s">
        <v>132</v>
      </c>
      <c r="E51" s="190" t="s">
        <v>264</v>
      </c>
      <c r="F51" s="191" t="s">
        <v>262</v>
      </c>
      <c r="G51" s="190" t="s">
        <v>148</v>
      </c>
      <c r="H51" s="190" t="s">
        <v>146</v>
      </c>
      <c r="I51" s="190" t="s">
        <v>265</v>
      </c>
      <c r="J51" s="190" t="s">
        <v>299</v>
      </c>
      <c r="K51" s="190" t="s">
        <v>300</v>
      </c>
      <c r="L51" s="190" t="s">
        <v>258</v>
      </c>
      <c r="M51" s="190" t="s">
        <v>259</v>
      </c>
      <c r="N51" s="190" t="s">
        <v>233</v>
      </c>
      <c r="O51" s="190" t="s">
        <v>295</v>
      </c>
      <c r="P51" s="147"/>
      <c r="Q51" s="175"/>
      <c r="R51" s="175"/>
      <c r="S51" s="175"/>
    </row>
    <row r="52" spans="1:19" x14ac:dyDescent="0.25">
      <c r="A52" s="194">
        <v>1</v>
      </c>
      <c r="B52" s="39">
        <v>0.13</v>
      </c>
      <c r="C52" s="39">
        <f>IF(B52="","",B52)</f>
        <v>0.13</v>
      </c>
      <c r="D52" s="39">
        <f>C52</f>
        <v>0.13</v>
      </c>
      <c r="E52" s="39">
        <f t="shared" ref="E52:E63" si="0">IF(D52="","",$C$18-C52)</f>
        <v>3.6</v>
      </c>
      <c r="F52" s="40" t="s">
        <v>306</v>
      </c>
      <c r="G52" s="39">
        <f>IF(F52="","",E52*TAN(RADIANS(45-('PROPIEDADES DE LOS SUELOS'!$C$26/2))))</f>
        <v>2.0784609690826525</v>
      </c>
      <c r="H52" s="39">
        <f>IF(F52="","",IF(F52="Geomalla",(1.5*L52)/(DISEÑO!$C$20*TAN(RADIANS('PROPIEDADES DE LOS SUELOS'!$C$26))*DISEÑO!$C$21*'PROPIEDADES DE LOS SUELOS'!$C$24*C52*DISEÑO!$C$25*0.8),(1.5*L52)/(DISEÑO!$C$20*TAN(RADIANS('PROPIEDADES DE LOS SUELOS'!$C$26))*DISEÑO!$C$21*'PROPIEDADES DE LOS SUELOS'!$C$24*C52*DISEÑO!$C$25*0.6)))</f>
        <v>1.6608539940703253</v>
      </c>
      <c r="I52" s="39">
        <f>IF(D52="","",IF(H52&lt;1,1,H52))</f>
        <v>1.6608539940703253</v>
      </c>
      <c r="J52" s="39">
        <f>IF(F52="","",G52+I52)</f>
        <v>3.7393149631529781</v>
      </c>
      <c r="K52" s="39">
        <f>IF(J52="","",'GEOMETRIA DEL MURO'!$F$12)</f>
        <v>4.3</v>
      </c>
      <c r="L52" s="39">
        <f>IF(F52="","",(('MC ANALISIS INTERNO'!$D$56*(($E$29*C52)+'CARGAS DISTRIBUIDAS'!$B$13+'CARGAS CONCENTRADAS'!$D$59))+'CARGAS CONCENTRADAS'!$D$34)*D52)</f>
        <v>1.1847333333333336</v>
      </c>
      <c r="M52" s="39">
        <f>IF(H52="","",'DISEÑO POR SISMO'!$D$34*('DISEÑO ALTERNATIVO'!I52/SUM($I$52:I683)))</f>
        <v>2.3049815023719868</v>
      </c>
      <c r="N52" s="39">
        <f>IF(L52="","",L52+M52)</f>
        <v>3.4897148357053203</v>
      </c>
      <c r="O52" s="192" t="s">
        <v>308</v>
      </c>
      <c r="Q52" s="176"/>
      <c r="R52" s="176"/>
      <c r="S52" s="176"/>
    </row>
    <row r="53" spans="1:19" x14ac:dyDescent="0.25">
      <c r="A53" s="40">
        <f>IF(B52="","",2)</f>
        <v>2</v>
      </c>
      <c r="B53" s="39">
        <v>0.4</v>
      </c>
      <c r="C53" s="39">
        <f>IF(B53="","",IF(SUM($B$52:B53)&gt;$C$18,"",C52+B53))</f>
        <v>0.53</v>
      </c>
      <c r="D53" s="39">
        <f>IF(C53=$C$18,(0.5*B53)+(0.5*B53),IF(C53="","",(0.5*B53)+(0.5*B54)))</f>
        <v>0.4</v>
      </c>
      <c r="E53" s="39">
        <f t="shared" si="0"/>
        <v>3.2</v>
      </c>
      <c r="F53" s="40" t="s">
        <v>306</v>
      </c>
      <c r="G53" s="39">
        <f>IF(F53="","",E53*TAN(RADIANS(45-('PROPIEDADES DE LOS SUELOS'!$C$26/2))))</f>
        <v>1.8475208614068024</v>
      </c>
      <c r="H53" s="39">
        <f>IF(F53="","",IF(F53="Geomalla",(1.5*L53)/(DISEÑO!$C$20*TAN(RADIANS('PROPIEDADES DE LOS SUELOS'!$C$26))*DISEÑO!$C$21*'PROPIEDADES DE LOS SUELOS'!$C$24*'DISEÑO ALTERNATIVO'!C53*DISEÑO!$C$25*0.8),(1.5*L53)/(DISEÑO!$C$20*TAN(RADIANS('PROPIEDADES DE LOS SUELOS'!$C$26))*DISEÑO!$C$21*'PROPIEDADES DE LOS SUELOS'!$C$24*'DISEÑO ALTERNATIVO'!C53*DISEÑO!$C$25*0.6)))</f>
        <v>1.5835777823684702</v>
      </c>
      <c r="I53" s="39">
        <f t="shared" ref="I53:I63" si="1">IF(D53="","",IF(H53&lt;1,1,H53))</f>
        <v>1.5835777823684702</v>
      </c>
      <c r="J53" s="39">
        <f t="shared" ref="J53:J60" si="2">IF(F53="","",G53+I53)</f>
        <v>3.4310986437752726</v>
      </c>
      <c r="K53" s="39">
        <f>IF(J53="","",'GEOMETRIA DEL MURO'!$F$12)</f>
        <v>4.3</v>
      </c>
      <c r="L53" s="39">
        <f>IF(F53="","",(('MC ANALISIS INTERNO'!$D$56*(($E$29*C53)+'CARGAS DISTRIBUIDAS'!$B$13+'CARGAS CONCENTRADAS'!$D$59))+'CARGAS CONCENTRADAS'!$D$34)*D53)</f>
        <v>4.6053333333333333</v>
      </c>
      <c r="M53" s="39">
        <f>IF(H53="","",'DISEÑO POR SISMO'!$D$34*('DISEÑO ALTERNATIVO'!I53/SUM($I$52:I111)))</f>
        <v>2.1977353271018591</v>
      </c>
      <c r="N53" s="39">
        <f t="shared" ref="N53:N60" si="3">IF(L53="","",L53+M53)</f>
        <v>6.8030686604351924</v>
      </c>
      <c r="O53" s="192" t="s">
        <v>308</v>
      </c>
      <c r="P53" s="177"/>
      <c r="Q53" s="176"/>
      <c r="R53" s="176"/>
      <c r="S53" s="176"/>
    </row>
    <row r="54" spans="1:19" x14ac:dyDescent="0.25">
      <c r="A54" s="40">
        <f>IF(B54="","",A53+1)</f>
        <v>3</v>
      </c>
      <c r="B54" s="39">
        <v>0.4</v>
      </c>
      <c r="C54" s="39">
        <f>IF(B54="","",IF(SUM($B$52:B54)&gt;$C$18,"",C53+B54))</f>
        <v>0.93</v>
      </c>
      <c r="D54" s="39">
        <f t="shared" ref="D54:D62" si="4">IF(C54=$C$18,(0.5*B54)+(0.5*B54),IF(C54="","",(0.5*B54)+(0.5*B55)))</f>
        <v>0.4</v>
      </c>
      <c r="E54" s="39">
        <f t="shared" si="0"/>
        <v>2.8</v>
      </c>
      <c r="F54" s="40" t="s">
        <v>306</v>
      </c>
      <c r="G54" s="39">
        <f>IF(F54="","",E54*TAN(RADIANS(45-('PROPIEDADES DE LOS SUELOS'!$C$26/2))))</f>
        <v>1.616580753730952</v>
      </c>
      <c r="H54" s="39">
        <f>IF(F54="","",IF(F54="Geomalla",(1.5*L54)/(DISEÑO!$C$20*TAN(RADIANS('PROPIEDADES DE LOS SUELOS'!$C$26))*DISEÑO!$C$21*'PROPIEDADES DE LOS SUELOS'!$C$24*'DISEÑO ALTERNATIVO'!C54*DISEÑO!$C$25*0.8),(1.5*L54)/(DISEÑO!$C$20*TAN(RADIANS('PROPIEDADES DE LOS SUELOS'!$C$26))*DISEÑO!$C$21*'PROPIEDADES DE LOS SUELOS'!$C$24*'DISEÑO ALTERNATIVO'!C54*DISEÑO!$C$25*0.6)))</f>
        <v>1.0905923136370419</v>
      </c>
      <c r="I54" s="39">
        <f t="shared" si="1"/>
        <v>1.0905923136370419</v>
      </c>
      <c r="J54" s="39">
        <f t="shared" si="2"/>
        <v>2.7071730673679939</v>
      </c>
      <c r="K54" s="39">
        <f>IF(J54="","",'GEOMETRIA DEL MURO'!$F$12)</f>
        <v>4.3</v>
      </c>
      <c r="L54" s="39">
        <f>IF(F54="","",(('MC ANALISIS INTERNO'!$D$56*(($E$29*C54)+'CARGAS DISTRIBUIDAS'!$B$13+'CARGAS CONCENTRADAS'!$D$59))+'CARGAS CONCENTRADAS'!$D$34)*D54)</f>
        <v>5.565333333333335</v>
      </c>
      <c r="M54" s="39">
        <f>IF(H54="","",'DISEÑO POR SISMO'!$D$34*('DISEÑO ALTERNATIVO'!I54/SUM($I$52:I112)))</f>
        <v>1.5135557481496522</v>
      </c>
      <c r="N54" s="39">
        <f t="shared" si="3"/>
        <v>7.0788890814829877</v>
      </c>
      <c r="O54" s="192" t="s">
        <v>308</v>
      </c>
      <c r="P54" s="177"/>
      <c r="Q54" s="176"/>
      <c r="R54" s="176"/>
      <c r="S54" s="176"/>
    </row>
    <row r="55" spans="1:19" x14ac:dyDescent="0.25">
      <c r="A55" s="40">
        <f t="shared" ref="A55:A63" si="5">IF(B55="","",A54+1)</f>
        <v>4</v>
      </c>
      <c r="B55" s="39">
        <v>0.4</v>
      </c>
      <c r="C55" s="39">
        <f>IF(B55="","",IF(SUM($B$52:B55)&gt;$C$18,"",C54+B55))</f>
        <v>1.33</v>
      </c>
      <c r="D55" s="39">
        <f t="shared" si="4"/>
        <v>0.4</v>
      </c>
      <c r="E55" s="39">
        <f t="shared" si="0"/>
        <v>2.4</v>
      </c>
      <c r="F55" s="40" t="s">
        <v>306</v>
      </c>
      <c r="G55" s="39">
        <f>IF(F55="","",E55*TAN(RADIANS(45-('PROPIEDADES DE LOS SUELOS'!$C$26/2))))</f>
        <v>1.3856406460551016</v>
      </c>
      <c r="H55" s="39">
        <f>IF(F55="","",IF(F55="Geomalla",(1.5*L55)/(DISEÑO!$C$20*TAN(RADIANS('PROPIEDADES DE LOS SUELOS'!$C$26))*DISEÑO!$C$21*'PROPIEDADES DE LOS SUELOS'!$C$24*'DISEÑO ALTERNATIVO'!C55*DISEÑO!$C$25*0.8),(1.5*L55)/(DISEÑO!$C$20*TAN(RADIANS('PROPIEDADES DE LOS SUELOS'!$C$26))*DISEÑO!$C$21*'PROPIEDADES DE LOS SUELOS'!$C$24*'DISEÑO ALTERNATIVO'!C55*DISEÑO!$C$25*0.6)))</f>
        <v>0.89413945767639702</v>
      </c>
      <c r="I55" s="39">
        <f t="shared" si="1"/>
        <v>1</v>
      </c>
      <c r="J55" s="39">
        <f t="shared" si="2"/>
        <v>2.3856406460551014</v>
      </c>
      <c r="K55" s="39">
        <f>IF(J55="","",'GEOMETRIA DEL MURO'!$F$12)</f>
        <v>4.3</v>
      </c>
      <c r="L55" s="39">
        <f>IF(F55="","",(('MC ANALISIS INTERNO'!$D$56*(($E$29*C55)+'CARGAS DISTRIBUIDAS'!$B$13+'CARGAS CONCENTRADAS'!$D$59))+'CARGAS CONCENTRADAS'!$D$34)*D55)</f>
        <v>6.525333333333335</v>
      </c>
      <c r="M55" s="39">
        <f>IF(H55="","",'DISEÑO POR SISMO'!$D$34*('DISEÑO ALTERNATIVO'!I55/SUM($I$52:I113)))</f>
        <v>1.387829099126932</v>
      </c>
      <c r="N55" s="39">
        <f t="shared" si="3"/>
        <v>7.9131624324602665</v>
      </c>
      <c r="O55" s="192" t="s">
        <v>308</v>
      </c>
      <c r="P55" s="177"/>
      <c r="Q55" s="176"/>
      <c r="R55" s="176"/>
      <c r="S55" s="176"/>
    </row>
    <row r="56" spans="1:19" x14ac:dyDescent="0.25">
      <c r="A56" s="40">
        <f t="shared" si="5"/>
        <v>5</v>
      </c>
      <c r="B56" s="39">
        <v>0.4</v>
      </c>
      <c r="C56" s="39">
        <f>IF(B56="","",IF(SUM($B$52:B56)&gt;$C$18,"",C55+B56))</f>
        <v>1.73</v>
      </c>
      <c r="D56" s="39">
        <f t="shared" si="4"/>
        <v>0.4</v>
      </c>
      <c r="E56" s="39">
        <f t="shared" si="0"/>
        <v>2</v>
      </c>
      <c r="F56" s="40" t="s">
        <v>306</v>
      </c>
      <c r="G56" s="39">
        <f>IF(F56="","",E56*TAN(RADIANS(45-('PROPIEDADES DE LOS SUELOS'!$C$26/2))))</f>
        <v>1.1547005383792515</v>
      </c>
      <c r="H56" s="39">
        <f>IF(F56="","",IF(F56="Geomalla",(1.5*L56)/(DISEÑO!$C$20*TAN(RADIANS('PROPIEDADES DE LOS SUELOS'!$C$26))*DISEÑO!$C$21*'PROPIEDADES DE LOS SUELOS'!$C$24*'DISEÑO ALTERNATIVO'!C56*DISEÑO!$C$25*0.8),(1.5*L56)/(DISEÑO!$C$20*TAN(RADIANS('PROPIEDADES DE LOS SUELOS'!$C$26))*DISEÑO!$C$21*'PROPIEDADES DE LOS SUELOS'!$C$24*'DISEÑO ALTERNATIVO'!C56*DISEÑO!$C$25*0.6)))</f>
        <v>0.78853185302703321</v>
      </c>
      <c r="I56" s="39">
        <f t="shared" si="1"/>
        <v>1</v>
      </c>
      <c r="J56" s="39">
        <f t="shared" si="2"/>
        <v>2.1547005383792515</v>
      </c>
      <c r="K56" s="39">
        <f>IF(J56="","",'GEOMETRIA DEL MURO'!$F$12)</f>
        <v>4.3</v>
      </c>
      <c r="L56" s="39">
        <f>IF(F56="","",(('MC ANALISIS INTERNO'!$D$56*(($E$29*C56)+'CARGAS DISTRIBUIDAS'!$B$13+'CARGAS CONCENTRADAS'!$D$59))+'CARGAS CONCENTRADAS'!$D$34)*D56)</f>
        <v>7.4853333333333341</v>
      </c>
      <c r="M56" s="39">
        <f>IF(H56="","",'DISEÑO POR SISMO'!$D$34*('DISEÑO ALTERNATIVO'!I56/SUM($I$52:I114)))</f>
        <v>1.387829099126932</v>
      </c>
      <c r="N56" s="39">
        <f t="shared" si="3"/>
        <v>8.8731624324602656</v>
      </c>
      <c r="O56" s="192" t="s">
        <v>308</v>
      </c>
      <c r="P56" s="177"/>
      <c r="Q56" s="176"/>
      <c r="R56" s="176"/>
      <c r="S56" s="176"/>
    </row>
    <row r="57" spans="1:19" x14ac:dyDescent="0.25">
      <c r="A57" s="40">
        <f t="shared" si="5"/>
        <v>6</v>
      </c>
      <c r="B57" s="39">
        <v>0.4</v>
      </c>
      <c r="C57" s="39">
        <f>IF(B57="","",IF(SUM($B$52:B57)&gt;$C$18,"",C56+B57))</f>
        <v>2.13</v>
      </c>
      <c r="D57" s="39">
        <f t="shared" si="4"/>
        <v>0.4</v>
      </c>
      <c r="E57" s="39">
        <f t="shared" si="0"/>
        <v>1.6</v>
      </c>
      <c r="F57" s="40" t="s">
        <v>306</v>
      </c>
      <c r="G57" s="39">
        <f>IF(F57="","",E57*TAN(RADIANS(45-('PROPIEDADES DE LOS SUELOS'!$C$26/2))))</f>
        <v>0.92376043070340119</v>
      </c>
      <c r="H57" s="39">
        <f>IF(F57="","",IF(F57="Geomalla",(1.5*L57)/(DISEÑO!$C$20*TAN(RADIANS('PROPIEDADES DE LOS SUELOS'!$C$26))*DISEÑO!$C$21*'PROPIEDADES DE LOS SUELOS'!$C$24*'DISEÑO ALTERNATIVO'!C57*DISEÑO!$C$25*0.8),(1.5*L57)/(DISEÑO!$C$20*TAN(RADIANS('PROPIEDADES DE LOS SUELOS'!$C$26))*DISEÑO!$C$21*'PROPIEDADES DE LOS SUELOS'!$C$24*'DISEÑO ALTERNATIVO'!C57*DISEÑO!$C$25*0.6)))</f>
        <v>0.72258907641498915</v>
      </c>
      <c r="I57" s="39">
        <f t="shared" si="1"/>
        <v>1</v>
      </c>
      <c r="J57" s="39">
        <f t="shared" si="2"/>
        <v>1.9237604307034011</v>
      </c>
      <c r="K57" s="39">
        <f>IF(J57="","",'GEOMETRIA DEL MURO'!$F$12)</f>
        <v>4.3</v>
      </c>
      <c r="L57" s="39">
        <f>IF(F57="","",(('MC ANALISIS INTERNO'!$D$56*(($E$29*C57)+'CARGAS DISTRIBUIDAS'!$B$13+'CARGAS CONCENTRADAS'!$D$59))+'CARGAS CONCENTRADAS'!$D$34)*D57)</f>
        <v>8.445333333333334</v>
      </c>
      <c r="M57" s="39">
        <f>IF(H57="","",'DISEÑO POR SISMO'!$D$34*('DISEÑO ALTERNATIVO'!I57/SUM($I$52:I115)))</f>
        <v>1.387829099126932</v>
      </c>
      <c r="N57" s="39">
        <f t="shared" si="3"/>
        <v>9.8331624324602664</v>
      </c>
      <c r="O57" s="192" t="s">
        <v>308</v>
      </c>
      <c r="P57" s="177"/>
      <c r="Q57" s="176"/>
      <c r="R57" s="176"/>
      <c r="S57" s="176"/>
    </row>
    <row r="58" spans="1:19" x14ac:dyDescent="0.25">
      <c r="A58" s="40">
        <f t="shared" si="5"/>
        <v>7</v>
      </c>
      <c r="B58" s="39">
        <v>0.4</v>
      </c>
      <c r="C58" s="39">
        <f>IF(B58="","",IF(SUM($B$52:B58)&gt;$C$18,"",C57+B58))</f>
        <v>2.5299999999999998</v>
      </c>
      <c r="D58" s="39">
        <f t="shared" si="4"/>
        <v>0.4</v>
      </c>
      <c r="E58" s="39">
        <f t="shared" si="0"/>
        <v>1.2000000000000002</v>
      </c>
      <c r="F58" s="40" t="s">
        <v>306</v>
      </c>
      <c r="G58" s="39">
        <f>IF(F58="","",E58*TAN(RADIANS(45-('PROPIEDADES DE LOS SUELOS'!$C$26/2))))</f>
        <v>0.69282032302755103</v>
      </c>
      <c r="H58" s="39">
        <f>IF(F58="","",IF(F58="Geomalla",(1.5*L58)/(DISEÑO!$C$20*TAN(RADIANS('PROPIEDADES DE LOS SUELOS'!$C$26))*DISEÑO!$C$21*'PROPIEDADES DE LOS SUELOS'!$C$24*'DISEÑO ALTERNATIVO'!C58*DISEÑO!$C$25*0.8),(1.5*L58)/(DISEÑO!$C$20*TAN(RADIANS('PROPIEDADES DE LOS SUELOS'!$C$26))*DISEÑO!$C$21*'PROPIEDADES DE LOS SUELOS'!$C$24*'DISEÑO ALTERNATIVO'!C58*DISEÑO!$C$25*0.6)))</f>
        <v>0.67749777066841355</v>
      </c>
      <c r="I58" s="39">
        <f t="shared" si="1"/>
        <v>1</v>
      </c>
      <c r="J58" s="39">
        <f t="shared" si="2"/>
        <v>1.6928203230275511</v>
      </c>
      <c r="K58" s="39">
        <f>IF(J58="","",'GEOMETRIA DEL MURO'!$F$12)</f>
        <v>4.3</v>
      </c>
      <c r="L58" s="39">
        <f>IF(F58="","",(('MC ANALISIS INTERNO'!$D$56*(($E$29*C58)+'CARGAS DISTRIBUIDAS'!$B$13+'CARGAS CONCENTRADAS'!$D$59))+'CARGAS CONCENTRADAS'!$D$34)*D58)</f>
        <v>9.4053333333333331</v>
      </c>
      <c r="M58" s="39">
        <f>IF(H58="","",'DISEÑO POR SISMO'!$D$34*('DISEÑO ALTERNATIVO'!I58/SUM($I$52:I116)))</f>
        <v>1.387829099126932</v>
      </c>
      <c r="N58" s="39">
        <f t="shared" si="3"/>
        <v>10.793162432460266</v>
      </c>
      <c r="O58" s="192" t="s">
        <v>308</v>
      </c>
      <c r="P58" s="177"/>
      <c r="Q58" s="176"/>
      <c r="R58" s="176"/>
      <c r="S58" s="176"/>
    </row>
    <row r="59" spans="1:19" x14ac:dyDescent="0.25">
      <c r="A59" s="40">
        <f t="shared" si="5"/>
        <v>8</v>
      </c>
      <c r="B59" s="39">
        <v>0.4</v>
      </c>
      <c r="C59" s="39">
        <f>IF(B59="","",IF(SUM($B$52:B59)&gt;$C$18,"",C58+B59))</f>
        <v>2.9299999999999997</v>
      </c>
      <c r="D59" s="39">
        <f t="shared" si="4"/>
        <v>0.4</v>
      </c>
      <c r="E59" s="39">
        <f t="shared" si="0"/>
        <v>0.80000000000000027</v>
      </c>
      <c r="F59" s="40" t="s">
        <v>306</v>
      </c>
      <c r="G59" s="39">
        <f>IF(F59="","",E59*TAN(RADIANS(45-('PROPIEDADES DE LOS SUELOS'!$C$26/2))))</f>
        <v>0.46188021535170076</v>
      </c>
      <c r="H59" s="39">
        <f>IF(F59="","",IF(F59="Geomalla",(1.5*L59)/(DISEÑO!$C$20*TAN(RADIANS('PROPIEDADES DE LOS SUELOS'!$C$26))*DISEÑO!$C$21*'PROPIEDADES DE LOS SUELOS'!$C$24*'DISEÑO ALTERNATIVO'!C59*DISEÑO!$C$25*0.8),(1.5*L59)/(DISEÑO!$C$20*TAN(RADIANS('PROPIEDADES DE LOS SUELOS'!$C$26))*DISEÑO!$C$21*'PROPIEDADES DE LOS SUELOS'!$C$24*'DISEÑO ALTERNATIVO'!C59*DISEÑO!$C$25*0.6)))</f>
        <v>0.64471808423830912</v>
      </c>
      <c r="I59" s="39">
        <f t="shared" si="1"/>
        <v>1</v>
      </c>
      <c r="J59" s="39">
        <f t="shared" si="2"/>
        <v>1.4618802153517008</v>
      </c>
      <c r="K59" s="39">
        <f>IF(J59="","",'GEOMETRIA DEL MURO'!$F$12)</f>
        <v>4.3</v>
      </c>
      <c r="L59" s="39">
        <f>IF(F59="","",(('MC ANALISIS INTERNO'!$D$56*(($E$29*C59)+'CARGAS DISTRIBUIDAS'!$B$13+'CARGAS CONCENTRADAS'!$D$59))+'CARGAS CONCENTRADAS'!$D$34)*D59)</f>
        <v>10.365333333333334</v>
      </c>
      <c r="M59" s="39">
        <f>IF(H59="","",'DISEÑO POR SISMO'!$D$34*('DISEÑO ALTERNATIVO'!I59/SUM($I$52:I117)))</f>
        <v>1.387829099126932</v>
      </c>
      <c r="N59" s="39">
        <f t="shared" si="3"/>
        <v>11.753162432460266</v>
      </c>
      <c r="O59" s="192" t="s">
        <v>308</v>
      </c>
      <c r="P59" s="177"/>
      <c r="Q59" s="176"/>
      <c r="R59" s="176"/>
      <c r="S59" s="176"/>
    </row>
    <row r="60" spans="1:19" x14ac:dyDescent="0.25">
      <c r="A60" s="40">
        <f t="shared" si="5"/>
        <v>9</v>
      </c>
      <c r="B60" s="39">
        <v>0.4</v>
      </c>
      <c r="C60" s="39">
        <f>IF(B60="","",IF(SUM($B$52:B60)&gt;$C$18,"",C59+B60))</f>
        <v>3.3299999999999996</v>
      </c>
      <c r="D60" s="39">
        <f t="shared" si="4"/>
        <v>0.4</v>
      </c>
      <c r="E60" s="39">
        <f t="shared" si="0"/>
        <v>0.40000000000000036</v>
      </c>
      <c r="F60" s="40" t="s">
        <v>306</v>
      </c>
      <c r="G60" s="39">
        <f>IF(F60="","",E60*TAN(RADIANS(45-('PROPIEDADES DE LOS SUELOS'!$C$26/2))))</f>
        <v>0.23094010767585049</v>
      </c>
      <c r="H60" s="39">
        <f>IF(F60="","",IF(F60="Geomalla",(1.5*L60)/(DISEÑO!$C$20*TAN(RADIANS('PROPIEDADES DE LOS SUELOS'!$C$26))*DISEÑO!$C$21*'PROPIEDADES DE LOS SUELOS'!$C$24*'DISEÑO ALTERNATIVO'!C60*DISEÑO!$C$25*0.8),(1.5*L60)/(DISEÑO!$C$20*TAN(RADIANS('PROPIEDADES DE LOS SUELOS'!$C$26))*DISEÑO!$C$21*'PROPIEDADES DE LOS SUELOS'!$C$24*'DISEÑO ALTERNATIVO'!C60*DISEÑO!$C$25*0.6)))</f>
        <v>0.61981339755117282</v>
      </c>
      <c r="I60" s="39">
        <f t="shared" si="1"/>
        <v>1</v>
      </c>
      <c r="J60" s="39">
        <f t="shared" si="2"/>
        <v>1.2309401076758504</v>
      </c>
      <c r="K60" s="39">
        <f>IF(J60="","",'GEOMETRIA DEL MURO'!$F$12)</f>
        <v>4.3</v>
      </c>
      <c r="L60" s="39">
        <f>IF(F60="","",(('MC ANALISIS INTERNO'!$D$56*(($E$29*C60)+'CARGAS DISTRIBUIDAS'!$B$13+'CARGAS CONCENTRADAS'!$D$59))+'CARGAS CONCENTRADAS'!$D$34)*D60)</f>
        <v>11.325333333333335</v>
      </c>
      <c r="M60" s="39">
        <f>IF(H60="","",'DISEÑO POR SISMO'!$D$34*('DISEÑO ALTERNATIVO'!I60/SUM($I$52:I118)))</f>
        <v>1.387829099126932</v>
      </c>
      <c r="N60" s="39">
        <f t="shared" si="3"/>
        <v>12.713162432460267</v>
      </c>
      <c r="O60" s="192" t="s">
        <v>308</v>
      </c>
      <c r="P60" s="177"/>
      <c r="Q60" s="176"/>
      <c r="R60" s="176"/>
      <c r="S60" s="176"/>
    </row>
    <row r="61" spans="1:19" x14ac:dyDescent="0.25">
      <c r="A61" s="40">
        <f t="shared" si="5"/>
        <v>10</v>
      </c>
      <c r="B61" s="39">
        <v>0.4</v>
      </c>
      <c r="C61" s="39">
        <f>IF(B61="","",IF(SUM($B$52:B61)&gt;$C$18,"",C60+B61))</f>
        <v>3.7299999999999995</v>
      </c>
      <c r="D61" s="39">
        <f t="shared" si="4"/>
        <v>0.4</v>
      </c>
      <c r="E61" s="39">
        <f t="shared" si="0"/>
        <v>4.4408920985006262E-16</v>
      </c>
      <c r="F61" s="40" t="s">
        <v>306</v>
      </c>
      <c r="G61" s="39">
        <f>IF(F61="","",E61*TAN(RADIANS(45-('PROPIEDADES DE LOS SUELOS'!$C$26/2))))</f>
        <v>2.5639502485114184E-16</v>
      </c>
      <c r="H61" s="39">
        <f>IF(F61="","",IF(F61="Geomalla",(1.5*L61)/(DISEÑO!$C$20*TAN(RADIANS('PROPIEDADES DE LOS SUELOS'!$C$26))*DISEÑO!$C$21*'PROPIEDADES DE LOS SUELOS'!$C$24*'DISEÑO ALTERNATIVO'!C61*DISEÑO!$C$25*0.8),(1.5*L61)/(DISEÑO!$C$20*TAN(RADIANS('PROPIEDADES DE LOS SUELOS'!$C$26))*DISEÑO!$C$21*'PROPIEDADES DE LOS SUELOS'!$C$24*'DISEÑO ALTERNATIVO'!C61*DISEÑO!$C$25*0.6)))</f>
        <v>0.60025019862535234</v>
      </c>
      <c r="I61" s="39">
        <f t="shared" si="1"/>
        <v>1</v>
      </c>
      <c r="J61" s="39">
        <f>IF(F61="","",G61+I61)</f>
        <v>1.0000000000000002</v>
      </c>
      <c r="K61" s="39">
        <f>IF(J61="","",'GEOMETRIA DEL MURO'!$F$12)</f>
        <v>4.3</v>
      </c>
      <c r="L61" s="39">
        <f>IF(F61="","",(('MC ANALISIS INTERNO'!$D$56*(($E$29*C61)+'CARGAS DISTRIBUIDAS'!$B$13+'CARGAS CONCENTRADAS'!$D$59))+'CARGAS CONCENTRADAS'!$D$34)*D61)</f>
        <v>12.285333333333334</v>
      </c>
      <c r="M61" s="39">
        <f>IF(H61="","",'DISEÑO POR SISMO'!$D$34*('DISEÑO ALTERNATIVO'!I61/SUM($I$52:I119)))</f>
        <v>1.387829099126932</v>
      </c>
      <c r="N61" s="39">
        <f t="shared" ref="N61:N63" si="6">IF(L61="","",L61+M61)</f>
        <v>13.673162432460266</v>
      </c>
      <c r="O61" s="192" t="s">
        <v>308</v>
      </c>
      <c r="P61" s="177"/>
      <c r="Q61" s="176"/>
      <c r="R61" s="176"/>
      <c r="S61" s="176"/>
    </row>
    <row r="62" spans="1:19" x14ac:dyDescent="0.25">
      <c r="A62" s="40" t="str">
        <f t="shared" si="5"/>
        <v/>
      </c>
      <c r="B62" s="39"/>
      <c r="C62" s="39" t="str">
        <f>IF(B62="","",IF(SUM($B$52:B62)&gt;$C$18,"",C61+B62))</f>
        <v/>
      </c>
      <c r="D62" s="39" t="str">
        <f t="shared" si="4"/>
        <v/>
      </c>
      <c r="E62" s="39" t="str">
        <f t="shared" si="0"/>
        <v/>
      </c>
      <c r="F62" s="40"/>
      <c r="G62" s="39" t="str">
        <f>IF(F62="","",E62*TAN(RADIANS(45-('PROPIEDADES DE LOS SUELOS'!$C$26/2))))</f>
        <v/>
      </c>
      <c r="H62" s="39" t="str">
        <f>IF(F62="","",IF(F62="Geomalla",(1.5*L62)/(DISEÑO!$C$20*TAN(RADIANS('PROPIEDADES DE LOS SUELOS'!$C$26))*DISEÑO!$C$21*'PROPIEDADES DE LOS SUELOS'!$C$24*'DISEÑO ALTERNATIVO'!C62*DISEÑO!$C$25*0.8),(1.5*L62)/(DISEÑO!$C$20*TAN(RADIANS('PROPIEDADES DE LOS SUELOS'!$C$26))*DISEÑO!$C$21*'PROPIEDADES DE LOS SUELOS'!$C$24*'DISEÑO ALTERNATIVO'!C62*DISEÑO!$C$25*0.6)))</f>
        <v/>
      </c>
      <c r="I62" s="39" t="str">
        <f t="shared" si="1"/>
        <v/>
      </c>
      <c r="J62" s="39" t="str">
        <f>IF(F62="","",G62+I62)</f>
        <v/>
      </c>
      <c r="K62" s="39" t="str">
        <f>IF(J62="","",'GEOMETRIA DEL MURO'!$F$12)</f>
        <v/>
      </c>
      <c r="L62" s="39" t="str">
        <f>IF(F62="","",(('MC ANALISIS INTERNO'!$D$56*(($E$29*C62)+'CARGAS DISTRIBUIDAS'!$B$13+'CARGAS CONCENTRADAS'!$D$59))+'CARGAS CONCENTRADAS'!$D$34)*D62)</f>
        <v/>
      </c>
      <c r="M62" s="39" t="str">
        <f>IF(H62="","",'DISEÑO POR SISMO'!$D$34*('DISEÑO ALTERNATIVO'!I62/SUM($I$52:I120)))</f>
        <v/>
      </c>
      <c r="N62" s="39" t="str">
        <f t="shared" si="6"/>
        <v/>
      </c>
      <c r="O62" s="192"/>
      <c r="P62" s="177"/>
      <c r="Q62" s="176"/>
      <c r="R62" s="176"/>
      <c r="S62" s="62"/>
    </row>
    <row r="63" spans="1:19" x14ac:dyDescent="0.25">
      <c r="A63" s="40" t="str">
        <f t="shared" si="5"/>
        <v/>
      </c>
      <c r="B63" s="39"/>
      <c r="C63" s="39" t="str">
        <f>IF(B63="","",IF(SUM($B$52:B63)&gt;$C$18,"",C62+B63))</f>
        <v/>
      </c>
      <c r="D63" s="39" t="str">
        <f>IF(C63=$C$18,(0.5*B63)+(0.5*B63),IF(C63="","",(0.5*B63)+(0.5*B64)))</f>
        <v/>
      </c>
      <c r="E63" s="39" t="str">
        <f t="shared" si="0"/>
        <v/>
      </c>
      <c r="F63" s="40"/>
      <c r="G63" s="39" t="str">
        <f>IF(F63="","",E63*TAN(RADIANS(45-('PROPIEDADES DE LOS SUELOS'!$C$26/2))))</f>
        <v/>
      </c>
      <c r="H63" s="39" t="str">
        <f>IF(F63="","",IF(F63="Geomalla",(1.5*L63)/(DISEÑO!$C$20*TAN(RADIANS('PROPIEDADES DE LOS SUELOS'!$C$26))*DISEÑO!$C$21*'PROPIEDADES DE LOS SUELOS'!$C$24*'DISEÑO ALTERNATIVO'!C63*DISEÑO!$C$25*0.8),(1.5*L63)/(DISEÑO!$C$20*TAN(RADIANS('PROPIEDADES DE LOS SUELOS'!$C$26))*DISEÑO!$C$21*'PROPIEDADES DE LOS SUELOS'!$C$24*'DISEÑO ALTERNATIVO'!C63*DISEÑO!$C$25*0.6)))</f>
        <v/>
      </c>
      <c r="I63" s="39" t="str">
        <f t="shared" si="1"/>
        <v/>
      </c>
      <c r="J63" s="39" t="str">
        <f>IF(F63="","",G63+I63)</f>
        <v/>
      </c>
      <c r="K63" s="39" t="str">
        <f>IF(J63="","",'GEOMETRIA DEL MURO'!$F$12)</f>
        <v/>
      </c>
      <c r="L63" s="39" t="str">
        <f>IF(F63="","",(('MC ANALISIS INTERNO'!$D$56*(($E$29*C63)+'CARGAS DISTRIBUIDAS'!$B$13+'CARGAS CONCENTRADAS'!$D$59))+'CARGAS CONCENTRADAS'!$D$34)*D63)</f>
        <v/>
      </c>
      <c r="M63" s="39" t="str">
        <f>IF(H63="","",'DISEÑO POR SISMO'!$D$34*('DISEÑO ALTERNATIVO'!I63/SUM($I$52:I121)))</f>
        <v/>
      </c>
      <c r="N63" s="39" t="str">
        <f t="shared" si="6"/>
        <v/>
      </c>
      <c r="O63" s="192"/>
      <c r="P63" s="62"/>
      <c r="Q63" s="62"/>
      <c r="R63" s="62"/>
      <c r="S63" s="62"/>
    </row>
    <row r="64" spans="1:19" x14ac:dyDescent="0.25">
      <c r="A64" s="40" t="str">
        <f>IF(B64="","",A63+1)</f>
        <v/>
      </c>
      <c r="B64" s="39"/>
      <c r="C64" s="39" t="str">
        <f>IF(B64="","",IF(SUM($B$52:B64)&gt;$C$18,"",C63+B64))</f>
        <v/>
      </c>
      <c r="D64" s="39" t="str">
        <f>IF(C64=$C$18,(0.5*B64)+(0.5*B64),IF(C64="","",(0.5*B64)+(0.5*B65)))</f>
        <v/>
      </c>
      <c r="E64" s="39" t="str">
        <f t="shared" ref="E64:E69" si="7">IF(D64="","",$C$18-C64)</f>
        <v/>
      </c>
      <c r="F64" s="40"/>
      <c r="G64" s="39" t="str">
        <f>IF(F64="","",E64*TAN(RADIANS(45-('PROPIEDADES DE LOS SUELOS'!$C$26/2))))</f>
        <v/>
      </c>
      <c r="H64" s="39" t="str">
        <f>IF(F64="","",IF(F64="Geomalla",(1.5*L64)/(DISEÑO!$C$20*TAN(RADIANS('PROPIEDADES DE LOS SUELOS'!$C$26))*DISEÑO!$C$21*'PROPIEDADES DE LOS SUELOS'!$C$24*'DISEÑO ALTERNATIVO'!C64*DISEÑO!$C$25*0.8),(1.5*L64)/(DISEÑO!$C$20*TAN(RADIANS('PROPIEDADES DE LOS SUELOS'!$C$26))*DISEÑO!$C$21*'PROPIEDADES DE LOS SUELOS'!$C$24*'DISEÑO ALTERNATIVO'!C64*DISEÑO!$C$25*0.6)))</f>
        <v/>
      </c>
      <c r="I64" s="39" t="str">
        <f t="shared" ref="I64:I69" si="8">IF(D64="","",IF(H64&lt;1,1,H64))</f>
        <v/>
      </c>
      <c r="J64" s="39" t="str">
        <f>IF(F64="","",G64+I64)</f>
        <v/>
      </c>
      <c r="K64" s="39" t="str">
        <f>IF(J64="","",'GEOMETRIA DEL MURO'!$F$12)</f>
        <v/>
      </c>
      <c r="L64" s="39" t="str">
        <f>IF(F64="","",(('MC ANALISIS INTERNO'!$D$56*(($E$29*C64)+'CARGAS DISTRIBUIDAS'!$B$13+'CARGAS CONCENTRADAS'!$D$59))+'CARGAS CONCENTRADAS'!$D$34)*D64)</f>
        <v/>
      </c>
      <c r="M64" s="39" t="str">
        <f>IF(H64="","",'DISEÑO POR SISMO'!$D$34*('DISEÑO ALTERNATIVO'!I64/SUM($I$52:I122)))</f>
        <v/>
      </c>
      <c r="N64" s="39" t="str">
        <f t="shared" ref="N64:N69" si="9">IF(L64="","",L64+M64)</f>
        <v/>
      </c>
      <c r="O64" s="192"/>
    </row>
    <row r="65" spans="1:15" x14ac:dyDescent="0.25">
      <c r="A65" s="40" t="str">
        <f t="shared" ref="A65:A69" si="10">IF(B65="","",A64+1)</f>
        <v/>
      </c>
      <c r="B65" s="39"/>
      <c r="C65" s="39" t="str">
        <f>IF(B65="","",IF(SUM($B$52:B65)&gt;$C$18,"",C64+B65))</f>
        <v/>
      </c>
      <c r="D65" s="39" t="str">
        <f t="shared" ref="D65:D69" si="11">IF(C65=$C$18,(0.5*B65)+(0.5*B65),IF(C65="","",(0.5*B65)+(0.5*B66)))</f>
        <v/>
      </c>
      <c r="E65" s="39" t="str">
        <f t="shared" si="7"/>
        <v/>
      </c>
      <c r="F65" s="40"/>
      <c r="G65" s="39" t="str">
        <f>IF(F65="","",E65*TAN(RADIANS(45-('PROPIEDADES DE LOS SUELOS'!$C$26/2))))</f>
        <v/>
      </c>
      <c r="H65" s="39" t="str">
        <f>IF(F65="","",IF(F65="Geomalla",(1.5*L65)/(DISEÑO!$C$20*TAN(RADIANS('PROPIEDADES DE LOS SUELOS'!$C$26))*DISEÑO!$C$21*'PROPIEDADES DE LOS SUELOS'!$C$24*'DISEÑO ALTERNATIVO'!C65*DISEÑO!$C$25*0.8),(1.5*L65)/(DISEÑO!$C$20*TAN(RADIANS('PROPIEDADES DE LOS SUELOS'!$C$26))*DISEÑO!$C$21*'PROPIEDADES DE LOS SUELOS'!$C$24*'DISEÑO ALTERNATIVO'!C65*DISEÑO!$C$25*0.6)))</f>
        <v/>
      </c>
      <c r="I65" s="39" t="str">
        <f t="shared" si="8"/>
        <v/>
      </c>
      <c r="J65" s="39" t="str">
        <f t="shared" ref="J65:J69" si="12">IF(F65="","",G65+I65)</f>
        <v/>
      </c>
      <c r="K65" s="39" t="str">
        <f>IF(J65="","",'GEOMETRIA DEL MURO'!$F$12)</f>
        <v/>
      </c>
      <c r="L65" s="39" t="str">
        <f>IF(F65="","",(('MC ANALISIS INTERNO'!$D$56*(($E$29*C65)+'CARGAS DISTRIBUIDAS'!$B$13+'CARGAS CONCENTRADAS'!$D$59))+'CARGAS CONCENTRADAS'!$D$34)*D65)</f>
        <v/>
      </c>
      <c r="M65" s="39" t="str">
        <f>IF(H65="","",'DISEÑO POR SISMO'!$D$34*('DISEÑO ALTERNATIVO'!I65/SUM($I$52:I123)))</f>
        <v/>
      </c>
      <c r="N65" s="39" t="str">
        <f t="shared" si="9"/>
        <v/>
      </c>
      <c r="O65" s="192"/>
    </row>
    <row r="66" spans="1:15" x14ac:dyDescent="0.25">
      <c r="A66" s="40" t="str">
        <f t="shared" si="10"/>
        <v/>
      </c>
      <c r="B66" s="39"/>
      <c r="C66" s="39" t="str">
        <f>IF(B66="","",IF(SUM($B$52:B66)&gt;$C$18,"",C65+B66))</f>
        <v/>
      </c>
      <c r="D66" s="39" t="str">
        <f t="shared" si="11"/>
        <v/>
      </c>
      <c r="E66" s="39" t="str">
        <f t="shared" si="7"/>
        <v/>
      </c>
      <c r="F66" s="40"/>
      <c r="G66" s="39" t="str">
        <f>IF(F66="","",E66*TAN(RADIANS(45-('PROPIEDADES DE LOS SUELOS'!$C$26/2))))</f>
        <v/>
      </c>
      <c r="H66" s="39" t="str">
        <f>IF(F66="","",IF(F66="Geomalla",(1.5*L66)/(DISEÑO!$C$20*TAN(RADIANS('PROPIEDADES DE LOS SUELOS'!$C$26))*DISEÑO!$C$21*'PROPIEDADES DE LOS SUELOS'!$C$24*'DISEÑO ALTERNATIVO'!C66*DISEÑO!$C$25*0.8),(1.5*L66)/(DISEÑO!$C$20*TAN(RADIANS('PROPIEDADES DE LOS SUELOS'!$C$26))*DISEÑO!$C$21*'PROPIEDADES DE LOS SUELOS'!$C$24*'DISEÑO ALTERNATIVO'!C66*DISEÑO!$C$25*0.6)))</f>
        <v/>
      </c>
      <c r="I66" s="39" t="str">
        <f t="shared" si="8"/>
        <v/>
      </c>
      <c r="J66" s="39" t="str">
        <f t="shared" si="12"/>
        <v/>
      </c>
      <c r="K66" s="39" t="str">
        <f>IF(J66="","",'GEOMETRIA DEL MURO'!$F$12)</f>
        <v/>
      </c>
      <c r="L66" s="39" t="str">
        <f>IF(F66="","",(('MC ANALISIS INTERNO'!$D$56*(($E$29*C66)+'CARGAS DISTRIBUIDAS'!$B$13+'CARGAS CONCENTRADAS'!$D$59))+'CARGAS CONCENTRADAS'!$D$34)*D66)</f>
        <v/>
      </c>
      <c r="M66" s="39" t="str">
        <f>IF(H66="","",'DISEÑO POR SISMO'!$D$34*('DISEÑO ALTERNATIVO'!I66/SUM($I$52:I124)))</f>
        <v/>
      </c>
      <c r="N66" s="39" t="str">
        <f t="shared" si="9"/>
        <v/>
      </c>
      <c r="O66" s="192"/>
    </row>
    <row r="67" spans="1:15" x14ac:dyDescent="0.25">
      <c r="A67" s="40" t="str">
        <f t="shared" si="10"/>
        <v/>
      </c>
      <c r="B67" s="39"/>
      <c r="C67" s="39" t="str">
        <f>IF(B67="","",IF(SUM($B$52:B67)&gt;$C$18,"",C66+B67))</f>
        <v/>
      </c>
      <c r="D67" s="39" t="str">
        <f t="shared" si="11"/>
        <v/>
      </c>
      <c r="E67" s="39" t="str">
        <f t="shared" si="7"/>
        <v/>
      </c>
      <c r="F67" s="40"/>
      <c r="G67" s="39" t="str">
        <f>IF(F67="","",E67*TAN(RADIANS(45-('PROPIEDADES DE LOS SUELOS'!$C$26/2))))</f>
        <v/>
      </c>
      <c r="H67" s="39" t="str">
        <f>IF(F67="","",IF(F67="Geomalla",(1.5*L67)/(DISEÑO!$C$20*TAN(RADIANS('PROPIEDADES DE LOS SUELOS'!$C$26))*DISEÑO!$C$21*'PROPIEDADES DE LOS SUELOS'!$C$24*'DISEÑO ALTERNATIVO'!C67*DISEÑO!$C$25*0.8),(1.5*L67)/(DISEÑO!$C$20*TAN(RADIANS('PROPIEDADES DE LOS SUELOS'!$C$26))*DISEÑO!$C$21*'PROPIEDADES DE LOS SUELOS'!$C$24*'DISEÑO ALTERNATIVO'!C67*DISEÑO!$C$25*0.6)))</f>
        <v/>
      </c>
      <c r="I67" s="39" t="str">
        <f t="shared" si="8"/>
        <v/>
      </c>
      <c r="J67" s="39" t="str">
        <f t="shared" si="12"/>
        <v/>
      </c>
      <c r="K67" s="39" t="str">
        <f>IF(J67="","",'GEOMETRIA DEL MURO'!$F$12)</f>
        <v/>
      </c>
      <c r="L67" s="39" t="str">
        <f>IF(F67="","",(('MC ANALISIS INTERNO'!$D$56*(($E$29*C67)+'CARGAS DISTRIBUIDAS'!$B$13+'CARGAS CONCENTRADAS'!$D$59))+'CARGAS CONCENTRADAS'!$D$34)*D67)</f>
        <v/>
      </c>
      <c r="M67" s="39" t="str">
        <f>IF(H67="","",'DISEÑO POR SISMO'!$D$34*('DISEÑO ALTERNATIVO'!I67/SUM($I$52:I125)))</f>
        <v/>
      </c>
      <c r="N67" s="39" t="str">
        <f t="shared" si="9"/>
        <v/>
      </c>
      <c r="O67" s="192"/>
    </row>
    <row r="68" spans="1:15" x14ac:dyDescent="0.25">
      <c r="A68" s="40" t="str">
        <f t="shared" si="10"/>
        <v/>
      </c>
      <c r="B68" s="39"/>
      <c r="C68" s="39" t="str">
        <f>IF(B68="","",IF(SUM($B$52:B68)&gt;$C$18,"",C67+B68))</f>
        <v/>
      </c>
      <c r="D68" s="39" t="str">
        <f t="shared" si="11"/>
        <v/>
      </c>
      <c r="E68" s="39" t="str">
        <f t="shared" si="7"/>
        <v/>
      </c>
      <c r="F68" s="40"/>
      <c r="G68" s="39" t="str">
        <f>IF(F68="","",E68*TAN(RADIANS(45-('PROPIEDADES DE LOS SUELOS'!$C$26/2))))</f>
        <v/>
      </c>
      <c r="H68" s="39" t="str">
        <f>IF(F68="","",IF(F68="Geomalla",(1.5*L68)/(DISEÑO!$C$20*TAN(RADIANS('PROPIEDADES DE LOS SUELOS'!$C$26))*DISEÑO!$C$21*'PROPIEDADES DE LOS SUELOS'!$C$24*'DISEÑO ALTERNATIVO'!C68*DISEÑO!$C$25*0.8),(1.5*L68)/(DISEÑO!$C$20*TAN(RADIANS('PROPIEDADES DE LOS SUELOS'!$C$26))*DISEÑO!$C$21*'PROPIEDADES DE LOS SUELOS'!$C$24*'DISEÑO ALTERNATIVO'!C68*DISEÑO!$C$25*0.6)))</f>
        <v/>
      </c>
      <c r="I68" s="39" t="str">
        <f t="shared" si="8"/>
        <v/>
      </c>
      <c r="J68" s="39" t="str">
        <f t="shared" si="12"/>
        <v/>
      </c>
      <c r="K68" s="39" t="str">
        <f>IF(J68="","",'GEOMETRIA DEL MURO'!$F$12)</f>
        <v/>
      </c>
      <c r="L68" s="39" t="str">
        <f>IF(F68="","",(('MC ANALISIS INTERNO'!$D$56*(($E$29*C68)+'CARGAS DISTRIBUIDAS'!$B$13+'CARGAS CONCENTRADAS'!$D$59))+'CARGAS CONCENTRADAS'!$D$34)*D68)</f>
        <v/>
      </c>
      <c r="M68" s="39" t="str">
        <f>IF(H68="","",'DISEÑO POR SISMO'!$D$34*('DISEÑO ALTERNATIVO'!I68/SUM($I$52:I126)))</f>
        <v/>
      </c>
      <c r="N68" s="39" t="str">
        <f t="shared" si="9"/>
        <v/>
      </c>
      <c r="O68" s="192"/>
    </row>
    <row r="69" spans="1:15" x14ac:dyDescent="0.25">
      <c r="A69" s="40" t="str">
        <f t="shared" si="10"/>
        <v/>
      </c>
      <c r="B69" s="39"/>
      <c r="C69" s="39" t="str">
        <f>IF(B69="","",IF(SUM($B$52:B69)&gt;$C$18,"",C68+B69))</f>
        <v/>
      </c>
      <c r="D69" s="39" t="str">
        <f t="shared" si="11"/>
        <v/>
      </c>
      <c r="E69" s="39" t="str">
        <f t="shared" si="7"/>
        <v/>
      </c>
      <c r="F69" s="40"/>
      <c r="G69" s="39" t="str">
        <f>IF(F69="","",E69*TAN(RADIANS(45-('PROPIEDADES DE LOS SUELOS'!$C$26/2))))</f>
        <v/>
      </c>
      <c r="H69" s="39" t="str">
        <f>IF(F69="","",IF(F69="Geomalla",(1.5*L69)/(DISEÑO!$C$20*TAN(RADIANS('PROPIEDADES DE LOS SUELOS'!$C$26))*DISEÑO!$C$21*'PROPIEDADES DE LOS SUELOS'!$C$24*'DISEÑO ALTERNATIVO'!C69*DISEÑO!$C$25*0.8),(1.5*L69)/(DISEÑO!$C$20*TAN(RADIANS('PROPIEDADES DE LOS SUELOS'!$C$26))*DISEÑO!$C$21*'PROPIEDADES DE LOS SUELOS'!$C$24*'DISEÑO ALTERNATIVO'!C69*DISEÑO!$C$25*0.6)))</f>
        <v/>
      </c>
      <c r="I69" s="39" t="str">
        <f t="shared" si="8"/>
        <v/>
      </c>
      <c r="J69" s="39" t="str">
        <f t="shared" si="12"/>
        <v/>
      </c>
      <c r="K69" s="39" t="str">
        <f>IF(J69="","",'GEOMETRIA DEL MURO'!$F$12)</f>
        <v/>
      </c>
      <c r="L69" s="39" t="str">
        <f>IF(F69="","",(('MC ANALISIS INTERNO'!$D$56*(($E$29*C69)+'CARGAS DISTRIBUIDAS'!$B$13+'CARGAS CONCENTRADAS'!$D$59))+'CARGAS CONCENTRADAS'!$D$34)*D69)</f>
        <v/>
      </c>
      <c r="M69" s="39" t="str">
        <f>IF(H69="","",'DISEÑO POR SISMO'!$D$34*('DISEÑO ALTERNATIVO'!I69/SUM($I$52:I127)))</f>
        <v/>
      </c>
      <c r="N69" s="39" t="str">
        <f t="shared" si="9"/>
        <v/>
      </c>
      <c r="O69" s="192"/>
    </row>
    <row r="70" spans="1:15" x14ac:dyDescent="0.25">
      <c r="A70" s="40" t="str">
        <f t="shared" ref="A70:A133" si="13">IF(B70="","",A69+1)</f>
        <v/>
      </c>
      <c r="B70" s="39"/>
      <c r="C70" s="39" t="str">
        <f>IF(B70="","",IF(SUM($B$52:B70)&gt;$C$18,"",C69+B70))</f>
        <v/>
      </c>
      <c r="D70" s="39" t="str">
        <f t="shared" ref="D70:D133" si="14">IF(C70=$C$18,(0.5*B70)+(0.5*B70),IF(C70="","",(0.5*B70)+(0.5*B71)))</f>
        <v/>
      </c>
      <c r="E70" s="39" t="str">
        <f t="shared" ref="E70:E133" si="15">IF(D70="","",$C$18-C70)</f>
        <v/>
      </c>
      <c r="F70" s="40"/>
      <c r="G70" s="39" t="str">
        <f>IF(F70="","",E70*TAN(RADIANS(45-('PROPIEDADES DE LOS SUELOS'!$C$26/2))))</f>
        <v/>
      </c>
      <c r="H70" s="39" t="str">
        <f>IF(F70="","",IF(F70="Geomalla",(1.5*L70)/(DISEÑO!$C$20*TAN(RADIANS('PROPIEDADES DE LOS SUELOS'!$C$26))*DISEÑO!$C$21*'PROPIEDADES DE LOS SUELOS'!$C$24*'DISEÑO ALTERNATIVO'!C70*DISEÑO!$C$25*0.8),(1.5*L70)/(DISEÑO!$C$20*TAN(RADIANS('PROPIEDADES DE LOS SUELOS'!$C$26))*DISEÑO!$C$21*'PROPIEDADES DE LOS SUELOS'!$C$24*'DISEÑO ALTERNATIVO'!C70*DISEÑO!$C$25*0.6)))</f>
        <v/>
      </c>
      <c r="I70" s="39" t="str">
        <f t="shared" ref="I70:I133" si="16">IF(D70="","",IF(H70&lt;1,1,H70))</f>
        <v/>
      </c>
      <c r="J70" s="39" t="str">
        <f t="shared" ref="J70:J133" si="17">IF(F70="","",G70+I70)</f>
        <v/>
      </c>
      <c r="K70" s="39" t="str">
        <f>IF(J70="","",'GEOMETRIA DEL MURO'!$F$12)</f>
        <v/>
      </c>
      <c r="L70" s="39" t="str">
        <f>IF(F70="","",(('MC ANALISIS INTERNO'!$D$56*(($E$29*C70)+'CARGAS DISTRIBUIDAS'!$B$13+'CARGAS CONCENTRADAS'!$D$59))+'CARGAS CONCENTRADAS'!$D$34)*D70)</f>
        <v/>
      </c>
      <c r="M70" s="39" t="str">
        <f>IF(H70="","",'DISEÑO POR SISMO'!$D$34*('DISEÑO ALTERNATIVO'!I70/SUM($I$52:I128)))</f>
        <v/>
      </c>
      <c r="N70" s="39" t="str">
        <f t="shared" ref="N70:N133" si="18">IF(L70="","",L70+M70)</f>
        <v/>
      </c>
      <c r="O70" s="192"/>
    </row>
    <row r="71" spans="1:15" x14ac:dyDescent="0.25">
      <c r="A71" s="40" t="str">
        <f t="shared" si="13"/>
        <v/>
      </c>
      <c r="B71" s="39"/>
      <c r="C71" s="39" t="str">
        <f>IF(B71="","",IF(SUM($B$52:B71)&gt;$C$18,"",C70+B71))</f>
        <v/>
      </c>
      <c r="D71" s="39" t="str">
        <f t="shared" si="14"/>
        <v/>
      </c>
      <c r="E71" s="39" t="str">
        <f t="shared" si="15"/>
        <v/>
      </c>
      <c r="F71" s="40"/>
      <c r="G71" s="39" t="str">
        <f>IF(F71="","",E71*TAN(RADIANS(45-('PROPIEDADES DE LOS SUELOS'!$C$26/2))))</f>
        <v/>
      </c>
      <c r="H71" s="39" t="str">
        <f>IF(F71="","",IF(F71="Geomalla",(1.5*L71)/(DISEÑO!$C$20*TAN(RADIANS('PROPIEDADES DE LOS SUELOS'!$C$26))*DISEÑO!$C$21*'PROPIEDADES DE LOS SUELOS'!$C$24*'DISEÑO ALTERNATIVO'!C71*DISEÑO!$C$25*0.8),(1.5*L71)/(DISEÑO!$C$20*TAN(RADIANS('PROPIEDADES DE LOS SUELOS'!$C$26))*DISEÑO!$C$21*'PROPIEDADES DE LOS SUELOS'!$C$24*'DISEÑO ALTERNATIVO'!C71*DISEÑO!$C$25*0.6)))</f>
        <v/>
      </c>
      <c r="I71" s="39" t="str">
        <f t="shared" si="16"/>
        <v/>
      </c>
      <c r="J71" s="39" t="str">
        <f t="shared" si="17"/>
        <v/>
      </c>
      <c r="K71" s="39" t="str">
        <f>IF(J71="","",'GEOMETRIA DEL MURO'!$F$12)</f>
        <v/>
      </c>
      <c r="L71" s="39" t="str">
        <f>IF(F71="","",(('MC ANALISIS INTERNO'!$D$56*(($E$29*C71)+'CARGAS DISTRIBUIDAS'!$B$13+'CARGAS CONCENTRADAS'!$D$59))+'CARGAS CONCENTRADAS'!$D$34)*D71)</f>
        <v/>
      </c>
      <c r="M71" s="39" t="str">
        <f>IF(H71="","",'DISEÑO POR SISMO'!$D$34*('DISEÑO ALTERNATIVO'!I71/SUM($I$52:I129)))</f>
        <v/>
      </c>
      <c r="N71" s="39" t="str">
        <f t="shared" si="18"/>
        <v/>
      </c>
      <c r="O71" s="192"/>
    </row>
    <row r="72" spans="1:15" x14ac:dyDescent="0.25">
      <c r="A72" s="40" t="str">
        <f t="shared" si="13"/>
        <v/>
      </c>
      <c r="B72" s="39"/>
      <c r="C72" s="39" t="str">
        <f>IF(B72="","",IF(SUM($B$52:B72)&gt;$C$18,"",C71+B72))</f>
        <v/>
      </c>
      <c r="D72" s="39" t="str">
        <f t="shared" si="14"/>
        <v/>
      </c>
      <c r="E72" s="39" t="str">
        <f t="shared" si="15"/>
        <v/>
      </c>
      <c r="F72" s="40"/>
      <c r="G72" s="39" t="str">
        <f>IF(F72="","",E72*TAN(RADIANS(45-('PROPIEDADES DE LOS SUELOS'!$C$26/2))))</f>
        <v/>
      </c>
      <c r="H72" s="39" t="str">
        <f>IF(F72="","",IF(F72="Geomalla",(1.5*L72)/(DISEÑO!$C$20*TAN(RADIANS('PROPIEDADES DE LOS SUELOS'!$C$26))*DISEÑO!$C$21*'PROPIEDADES DE LOS SUELOS'!$C$24*'DISEÑO ALTERNATIVO'!C72*DISEÑO!$C$25*0.8),(1.5*L72)/(DISEÑO!$C$20*TAN(RADIANS('PROPIEDADES DE LOS SUELOS'!$C$26))*DISEÑO!$C$21*'PROPIEDADES DE LOS SUELOS'!$C$24*'DISEÑO ALTERNATIVO'!C72*DISEÑO!$C$25*0.6)))</f>
        <v/>
      </c>
      <c r="I72" s="39" t="str">
        <f t="shared" si="16"/>
        <v/>
      </c>
      <c r="J72" s="39" t="str">
        <f t="shared" si="17"/>
        <v/>
      </c>
      <c r="K72" s="39" t="str">
        <f>IF(J72="","",'GEOMETRIA DEL MURO'!$F$12)</f>
        <v/>
      </c>
      <c r="L72" s="39" t="str">
        <f>IF(F72="","",(('MC ANALISIS INTERNO'!$D$56*(($E$29*C72)+'CARGAS DISTRIBUIDAS'!$B$13+'CARGAS CONCENTRADAS'!$D$59))+'CARGAS CONCENTRADAS'!$D$34)*D72)</f>
        <v/>
      </c>
      <c r="M72" s="39" t="str">
        <f>IF(H72="","",'DISEÑO POR SISMO'!$D$34*('DISEÑO ALTERNATIVO'!I72/SUM($I$52:I130)))</f>
        <v/>
      </c>
      <c r="N72" s="39" t="str">
        <f t="shared" si="18"/>
        <v/>
      </c>
      <c r="O72" s="192"/>
    </row>
    <row r="73" spans="1:15" x14ac:dyDescent="0.25">
      <c r="A73" s="40" t="str">
        <f t="shared" si="13"/>
        <v/>
      </c>
      <c r="B73" s="39"/>
      <c r="C73" s="39" t="str">
        <f>IF(B73="","",IF(SUM($B$52:B73)&gt;$C$18,"",C72+B73))</f>
        <v/>
      </c>
      <c r="D73" s="39" t="str">
        <f t="shared" si="14"/>
        <v/>
      </c>
      <c r="E73" s="39" t="str">
        <f t="shared" si="15"/>
        <v/>
      </c>
      <c r="F73" s="40"/>
      <c r="G73" s="39" t="str">
        <f>IF(F73="","",E73*TAN(RADIANS(45-('PROPIEDADES DE LOS SUELOS'!$C$26/2))))</f>
        <v/>
      </c>
      <c r="H73" s="39" t="str">
        <f>IF(F73="","",IF(F73="Geomalla",(1.5*L73)/(DISEÑO!$C$20*TAN(RADIANS('PROPIEDADES DE LOS SUELOS'!$C$26))*DISEÑO!$C$21*'PROPIEDADES DE LOS SUELOS'!$C$24*'DISEÑO ALTERNATIVO'!C73*DISEÑO!$C$25*0.8),(1.5*L73)/(DISEÑO!$C$20*TAN(RADIANS('PROPIEDADES DE LOS SUELOS'!$C$26))*DISEÑO!$C$21*'PROPIEDADES DE LOS SUELOS'!$C$24*'DISEÑO ALTERNATIVO'!C73*DISEÑO!$C$25*0.6)))</f>
        <v/>
      </c>
      <c r="I73" s="39" t="str">
        <f t="shared" si="16"/>
        <v/>
      </c>
      <c r="J73" s="39" t="str">
        <f t="shared" si="17"/>
        <v/>
      </c>
      <c r="K73" s="39" t="str">
        <f>IF(J73="","",'GEOMETRIA DEL MURO'!$F$12)</f>
        <v/>
      </c>
      <c r="L73" s="39" t="str">
        <f>IF(F73="","",(('MC ANALISIS INTERNO'!$D$56*(($E$29*C73)+'CARGAS DISTRIBUIDAS'!$B$13+'CARGAS CONCENTRADAS'!$D$59))+'CARGAS CONCENTRADAS'!$D$34)*D73)</f>
        <v/>
      </c>
      <c r="M73" s="39" t="str">
        <f>IF(H73="","",'DISEÑO POR SISMO'!$D$34*('DISEÑO ALTERNATIVO'!I73/SUM($I$52:I131)))</f>
        <v/>
      </c>
      <c r="N73" s="39" t="str">
        <f t="shared" si="18"/>
        <v/>
      </c>
      <c r="O73" s="192"/>
    </row>
    <row r="74" spans="1:15" x14ac:dyDescent="0.25">
      <c r="A74" s="40" t="str">
        <f t="shared" si="13"/>
        <v/>
      </c>
      <c r="B74" s="39"/>
      <c r="C74" s="39" t="str">
        <f>IF(B74="","",IF(SUM($B$52:B74)&gt;$C$18,"",C73+B74))</f>
        <v/>
      </c>
      <c r="D74" s="39" t="str">
        <f t="shared" si="14"/>
        <v/>
      </c>
      <c r="E74" s="39" t="str">
        <f t="shared" si="15"/>
        <v/>
      </c>
      <c r="F74" s="40"/>
      <c r="G74" s="39" t="str">
        <f>IF(F74="","",E74*TAN(RADIANS(45-('PROPIEDADES DE LOS SUELOS'!$C$26/2))))</f>
        <v/>
      </c>
      <c r="H74" s="39" t="str">
        <f>IF(F74="","",IF(F74="Geomalla",(1.5*L74)/(DISEÑO!$C$20*TAN(RADIANS('PROPIEDADES DE LOS SUELOS'!$C$26))*DISEÑO!$C$21*'PROPIEDADES DE LOS SUELOS'!$C$24*'DISEÑO ALTERNATIVO'!C74*DISEÑO!$C$25*0.8),(1.5*L74)/(DISEÑO!$C$20*TAN(RADIANS('PROPIEDADES DE LOS SUELOS'!$C$26))*DISEÑO!$C$21*'PROPIEDADES DE LOS SUELOS'!$C$24*'DISEÑO ALTERNATIVO'!C74*DISEÑO!$C$25*0.6)))</f>
        <v/>
      </c>
      <c r="I74" s="39" t="str">
        <f t="shared" si="16"/>
        <v/>
      </c>
      <c r="J74" s="39" t="str">
        <f t="shared" si="17"/>
        <v/>
      </c>
      <c r="K74" s="39" t="str">
        <f>IF(J74="","",'GEOMETRIA DEL MURO'!$F$12)</f>
        <v/>
      </c>
      <c r="L74" s="39" t="str">
        <f>IF(F74="","",(('MC ANALISIS INTERNO'!$D$56*(($E$29*C74)+'CARGAS DISTRIBUIDAS'!$B$13+'CARGAS CONCENTRADAS'!$D$59))+'CARGAS CONCENTRADAS'!$D$34)*D74)</f>
        <v/>
      </c>
      <c r="M74" s="39" t="str">
        <f>IF(H74="","",'DISEÑO POR SISMO'!$D$34*('DISEÑO ALTERNATIVO'!I74/SUM($I$52:I132)))</f>
        <v/>
      </c>
      <c r="N74" s="39" t="str">
        <f t="shared" si="18"/>
        <v/>
      </c>
      <c r="O74" s="192"/>
    </row>
    <row r="75" spans="1:15" x14ac:dyDescent="0.25">
      <c r="A75" s="40" t="str">
        <f t="shared" si="13"/>
        <v/>
      </c>
      <c r="B75" s="39"/>
      <c r="C75" s="39" t="str">
        <f>IF(B75="","",IF(SUM($B$52:B75)&gt;$C$18,"",C74+B75))</f>
        <v/>
      </c>
      <c r="D75" s="39" t="str">
        <f t="shared" si="14"/>
        <v/>
      </c>
      <c r="E75" s="39" t="str">
        <f t="shared" si="15"/>
        <v/>
      </c>
      <c r="F75" s="40"/>
      <c r="G75" s="39" t="str">
        <f>IF(F75="","",E75*TAN(RADIANS(45-('PROPIEDADES DE LOS SUELOS'!$C$26/2))))</f>
        <v/>
      </c>
      <c r="H75" s="39" t="str">
        <f>IF(F75="","",IF(F75="Geomalla",(1.5*L75)/(DISEÑO!$C$20*TAN(RADIANS('PROPIEDADES DE LOS SUELOS'!$C$26))*DISEÑO!$C$21*'PROPIEDADES DE LOS SUELOS'!$C$24*'DISEÑO ALTERNATIVO'!C75*DISEÑO!$C$25*0.8),(1.5*L75)/(DISEÑO!$C$20*TAN(RADIANS('PROPIEDADES DE LOS SUELOS'!$C$26))*DISEÑO!$C$21*'PROPIEDADES DE LOS SUELOS'!$C$24*'DISEÑO ALTERNATIVO'!C75*DISEÑO!$C$25*0.6)))</f>
        <v/>
      </c>
      <c r="I75" s="39" t="str">
        <f t="shared" si="16"/>
        <v/>
      </c>
      <c r="J75" s="39" t="str">
        <f t="shared" si="17"/>
        <v/>
      </c>
      <c r="K75" s="39" t="str">
        <f>IF(J75="","",'GEOMETRIA DEL MURO'!$F$12)</f>
        <v/>
      </c>
      <c r="L75" s="39" t="str">
        <f>IF(F75="","",(('MC ANALISIS INTERNO'!$D$56*(($E$29*C75)+'CARGAS DISTRIBUIDAS'!$B$13+'CARGAS CONCENTRADAS'!$D$59))+'CARGAS CONCENTRADAS'!$D$34)*D75)</f>
        <v/>
      </c>
      <c r="M75" s="39" t="str">
        <f>IF(H75="","",'DISEÑO POR SISMO'!$D$34*('DISEÑO ALTERNATIVO'!I75/SUM($I$52:I133)))</f>
        <v/>
      </c>
      <c r="N75" s="39" t="str">
        <f t="shared" si="18"/>
        <v/>
      </c>
      <c r="O75" s="192"/>
    </row>
    <row r="76" spans="1:15" x14ac:dyDescent="0.25">
      <c r="A76" s="40" t="str">
        <f t="shared" si="13"/>
        <v/>
      </c>
      <c r="B76" s="39"/>
      <c r="C76" s="39" t="str">
        <f>IF(B76="","",IF(SUM($B$52:B76)&gt;$C$18,"",C75+B76))</f>
        <v/>
      </c>
      <c r="D76" s="39" t="str">
        <f t="shared" si="14"/>
        <v/>
      </c>
      <c r="E76" s="39" t="str">
        <f t="shared" si="15"/>
        <v/>
      </c>
      <c r="F76" s="40"/>
      <c r="G76" s="39" t="str">
        <f>IF(F76="","",E76*TAN(RADIANS(45-('PROPIEDADES DE LOS SUELOS'!$C$26/2))))</f>
        <v/>
      </c>
      <c r="H76" s="39" t="str">
        <f>IF(F76="","",IF(F76="Geomalla",(1.5*L76)/(DISEÑO!$C$20*TAN(RADIANS('PROPIEDADES DE LOS SUELOS'!$C$26))*DISEÑO!$C$21*'PROPIEDADES DE LOS SUELOS'!$C$24*'DISEÑO ALTERNATIVO'!C76*DISEÑO!$C$25*0.8),(1.5*L76)/(DISEÑO!$C$20*TAN(RADIANS('PROPIEDADES DE LOS SUELOS'!$C$26))*DISEÑO!$C$21*'PROPIEDADES DE LOS SUELOS'!$C$24*'DISEÑO ALTERNATIVO'!C76*DISEÑO!$C$25*0.6)))</f>
        <v/>
      </c>
      <c r="I76" s="39" t="str">
        <f t="shared" si="16"/>
        <v/>
      </c>
      <c r="J76" s="39" t="str">
        <f t="shared" si="17"/>
        <v/>
      </c>
      <c r="K76" s="39" t="str">
        <f>IF(J76="","",'GEOMETRIA DEL MURO'!$F$12)</f>
        <v/>
      </c>
      <c r="L76" s="39" t="str">
        <f>IF(F76="","",(('MC ANALISIS INTERNO'!$D$56*(($E$29*C76)+'CARGAS DISTRIBUIDAS'!$B$13+'CARGAS CONCENTRADAS'!$D$59))+'CARGAS CONCENTRADAS'!$D$34)*D76)</f>
        <v/>
      </c>
      <c r="M76" s="39" t="str">
        <f>IF(H76="","",'DISEÑO POR SISMO'!$D$34*('DISEÑO ALTERNATIVO'!I76/SUM($I$52:I134)))</f>
        <v/>
      </c>
      <c r="N76" s="39" t="str">
        <f t="shared" si="18"/>
        <v/>
      </c>
      <c r="O76" s="192"/>
    </row>
    <row r="77" spans="1:15" x14ac:dyDescent="0.25">
      <c r="A77" s="40" t="str">
        <f t="shared" si="13"/>
        <v/>
      </c>
      <c r="B77" s="39"/>
      <c r="C77" s="39" t="str">
        <f>IF(B77="","",IF(SUM($B$52:B77)&gt;$C$18,"",C76+B77))</f>
        <v/>
      </c>
      <c r="D77" s="39" t="str">
        <f t="shared" si="14"/>
        <v/>
      </c>
      <c r="E77" s="39" t="str">
        <f t="shared" si="15"/>
        <v/>
      </c>
      <c r="F77" s="40"/>
      <c r="G77" s="39" t="str">
        <f>IF(F77="","",E77*TAN(RADIANS(45-('PROPIEDADES DE LOS SUELOS'!$C$26/2))))</f>
        <v/>
      </c>
      <c r="H77" s="39" t="str">
        <f>IF(F77="","",IF(F77="Geomalla",(1.5*L77)/(DISEÑO!$C$20*TAN(RADIANS('PROPIEDADES DE LOS SUELOS'!$C$26))*DISEÑO!$C$21*'PROPIEDADES DE LOS SUELOS'!$C$24*'DISEÑO ALTERNATIVO'!C77*DISEÑO!$C$25*0.8),(1.5*L77)/(DISEÑO!$C$20*TAN(RADIANS('PROPIEDADES DE LOS SUELOS'!$C$26))*DISEÑO!$C$21*'PROPIEDADES DE LOS SUELOS'!$C$24*'DISEÑO ALTERNATIVO'!C77*DISEÑO!$C$25*0.6)))</f>
        <v/>
      </c>
      <c r="I77" s="39" t="str">
        <f t="shared" si="16"/>
        <v/>
      </c>
      <c r="J77" s="39" t="str">
        <f t="shared" si="17"/>
        <v/>
      </c>
      <c r="K77" s="39" t="str">
        <f>IF(J77="","",'GEOMETRIA DEL MURO'!$F$12)</f>
        <v/>
      </c>
      <c r="L77" s="39" t="str">
        <f>IF(F77="","",(('MC ANALISIS INTERNO'!$D$56*(($E$29*C77)+'CARGAS DISTRIBUIDAS'!$B$13+'CARGAS CONCENTRADAS'!$D$59))+'CARGAS CONCENTRADAS'!$D$34)*D77)</f>
        <v/>
      </c>
      <c r="M77" s="39" t="str">
        <f>IF(H77="","",'DISEÑO POR SISMO'!$D$34*('DISEÑO ALTERNATIVO'!I77/SUM($I$52:I135)))</f>
        <v/>
      </c>
      <c r="N77" s="39" t="str">
        <f t="shared" si="18"/>
        <v/>
      </c>
      <c r="O77" s="192"/>
    </row>
    <row r="78" spans="1:15" x14ac:dyDescent="0.25">
      <c r="A78" s="40" t="str">
        <f t="shared" si="13"/>
        <v/>
      </c>
      <c r="B78" s="39"/>
      <c r="C78" s="39" t="str">
        <f>IF(B78="","",IF(SUM($B$52:B78)&gt;$C$18,"",C77+B78))</f>
        <v/>
      </c>
      <c r="D78" s="39" t="str">
        <f t="shared" si="14"/>
        <v/>
      </c>
      <c r="E78" s="39" t="str">
        <f t="shared" si="15"/>
        <v/>
      </c>
      <c r="F78" s="40"/>
      <c r="G78" s="39" t="str">
        <f>IF(F78="","",E78*TAN(RADIANS(45-('PROPIEDADES DE LOS SUELOS'!$C$26/2))))</f>
        <v/>
      </c>
      <c r="H78" s="39" t="str">
        <f>IF(F78="","",IF(F78="Geomalla",(1.5*L78)/(DISEÑO!$C$20*TAN(RADIANS('PROPIEDADES DE LOS SUELOS'!$C$26))*DISEÑO!$C$21*'PROPIEDADES DE LOS SUELOS'!$C$24*'DISEÑO ALTERNATIVO'!C78*DISEÑO!$C$25*0.8),(1.5*L78)/(DISEÑO!$C$20*TAN(RADIANS('PROPIEDADES DE LOS SUELOS'!$C$26))*DISEÑO!$C$21*'PROPIEDADES DE LOS SUELOS'!$C$24*'DISEÑO ALTERNATIVO'!C78*DISEÑO!$C$25*0.6)))</f>
        <v/>
      </c>
      <c r="I78" s="39" t="str">
        <f t="shared" si="16"/>
        <v/>
      </c>
      <c r="J78" s="39" t="str">
        <f t="shared" si="17"/>
        <v/>
      </c>
      <c r="K78" s="39" t="str">
        <f>IF(J78="","",'GEOMETRIA DEL MURO'!$F$12)</f>
        <v/>
      </c>
      <c r="L78" s="39" t="str">
        <f>IF(F78="","",(('MC ANALISIS INTERNO'!$D$56*(($E$29*C78)+'CARGAS DISTRIBUIDAS'!$B$13+'CARGAS CONCENTRADAS'!$D$59))+'CARGAS CONCENTRADAS'!$D$34)*D78)</f>
        <v/>
      </c>
      <c r="M78" s="39" t="str">
        <f>IF(H78="","",'DISEÑO POR SISMO'!$D$34*('DISEÑO ALTERNATIVO'!I78/SUM($I$52:I136)))</f>
        <v/>
      </c>
      <c r="N78" s="39" t="str">
        <f t="shared" si="18"/>
        <v/>
      </c>
      <c r="O78" s="192"/>
    </row>
    <row r="79" spans="1:15" x14ac:dyDescent="0.25">
      <c r="A79" s="40" t="str">
        <f t="shared" si="13"/>
        <v/>
      </c>
      <c r="B79" s="39"/>
      <c r="C79" s="39" t="str">
        <f>IF(B79="","",IF(SUM($B$52:B79)&gt;$C$18,"",C78+B79))</f>
        <v/>
      </c>
      <c r="D79" s="39" t="str">
        <f t="shared" si="14"/>
        <v/>
      </c>
      <c r="E79" s="39" t="str">
        <f t="shared" si="15"/>
        <v/>
      </c>
      <c r="F79" s="40"/>
      <c r="G79" s="39" t="str">
        <f>IF(F79="","",E79*TAN(RADIANS(45-('PROPIEDADES DE LOS SUELOS'!$C$26/2))))</f>
        <v/>
      </c>
      <c r="H79" s="39" t="str">
        <f>IF(F79="","",IF(F79="Geomalla",(1.5*L79)/(DISEÑO!$C$20*TAN(RADIANS('PROPIEDADES DE LOS SUELOS'!$C$26))*DISEÑO!$C$21*'PROPIEDADES DE LOS SUELOS'!$C$24*'DISEÑO ALTERNATIVO'!C79*DISEÑO!$C$25*0.8),(1.5*L79)/(DISEÑO!$C$20*TAN(RADIANS('PROPIEDADES DE LOS SUELOS'!$C$26))*DISEÑO!$C$21*'PROPIEDADES DE LOS SUELOS'!$C$24*'DISEÑO ALTERNATIVO'!C79*DISEÑO!$C$25*0.6)))</f>
        <v/>
      </c>
      <c r="I79" s="39" t="str">
        <f t="shared" si="16"/>
        <v/>
      </c>
      <c r="J79" s="39" t="str">
        <f t="shared" si="17"/>
        <v/>
      </c>
      <c r="K79" s="39" t="str">
        <f>IF(J79="","",'GEOMETRIA DEL MURO'!$F$12)</f>
        <v/>
      </c>
      <c r="L79" s="39" t="str">
        <f>IF(F79="","",(('MC ANALISIS INTERNO'!$D$56*(($E$29*C79)+'CARGAS DISTRIBUIDAS'!$B$13+'CARGAS CONCENTRADAS'!$D$59))+'CARGAS CONCENTRADAS'!$D$34)*D79)</f>
        <v/>
      </c>
      <c r="M79" s="39" t="str">
        <f>IF(H79="","",'DISEÑO POR SISMO'!$D$34*('DISEÑO ALTERNATIVO'!I79/SUM($I$52:I137)))</f>
        <v/>
      </c>
      <c r="N79" s="39" t="str">
        <f t="shared" si="18"/>
        <v/>
      </c>
      <c r="O79" s="192"/>
    </row>
    <row r="80" spans="1:15" x14ac:dyDescent="0.25">
      <c r="A80" s="40" t="str">
        <f t="shared" si="13"/>
        <v/>
      </c>
      <c r="B80" s="39"/>
      <c r="C80" s="39" t="str">
        <f>IF(B80="","",IF(SUM($B$52:B80)&gt;$C$18,"",C79+B80))</f>
        <v/>
      </c>
      <c r="D80" s="39" t="str">
        <f t="shared" si="14"/>
        <v/>
      </c>
      <c r="E80" s="39" t="str">
        <f t="shared" si="15"/>
        <v/>
      </c>
      <c r="F80" s="40"/>
      <c r="G80" s="39" t="str">
        <f>IF(F80="","",E80*TAN(RADIANS(45-('PROPIEDADES DE LOS SUELOS'!$C$26/2))))</f>
        <v/>
      </c>
      <c r="H80" s="39" t="str">
        <f>IF(F80="","",IF(F80="Geomalla",(1.5*L80)/(DISEÑO!$C$20*TAN(RADIANS('PROPIEDADES DE LOS SUELOS'!$C$26))*DISEÑO!$C$21*'PROPIEDADES DE LOS SUELOS'!$C$24*'DISEÑO ALTERNATIVO'!C80*DISEÑO!$C$25*0.8),(1.5*L80)/(DISEÑO!$C$20*TAN(RADIANS('PROPIEDADES DE LOS SUELOS'!$C$26))*DISEÑO!$C$21*'PROPIEDADES DE LOS SUELOS'!$C$24*'DISEÑO ALTERNATIVO'!C80*DISEÑO!$C$25*0.6)))</f>
        <v/>
      </c>
      <c r="I80" s="39" t="str">
        <f t="shared" si="16"/>
        <v/>
      </c>
      <c r="J80" s="39" t="str">
        <f t="shared" si="17"/>
        <v/>
      </c>
      <c r="K80" s="39" t="str">
        <f>IF(J80="","",'GEOMETRIA DEL MURO'!$F$12)</f>
        <v/>
      </c>
      <c r="L80" s="39" t="str">
        <f>IF(F80="","",(('MC ANALISIS INTERNO'!$D$56*(($E$29*C80)+'CARGAS DISTRIBUIDAS'!$B$13+'CARGAS CONCENTRADAS'!$D$59))+'CARGAS CONCENTRADAS'!$D$34)*D80)</f>
        <v/>
      </c>
      <c r="M80" s="39" t="str">
        <f>IF(H80="","",'DISEÑO POR SISMO'!$D$34*('DISEÑO ALTERNATIVO'!I80/SUM($I$52:I138)))</f>
        <v/>
      </c>
      <c r="N80" s="39" t="str">
        <f t="shared" si="18"/>
        <v/>
      </c>
      <c r="O80" s="192"/>
    </row>
    <row r="81" spans="1:15" x14ac:dyDescent="0.25">
      <c r="A81" s="40" t="str">
        <f t="shared" si="13"/>
        <v/>
      </c>
      <c r="B81" s="39"/>
      <c r="C81" s="39" t="str">
        <f>IF(B81="","",IF(SUM($B$52:B81)&gt;$C$18,"",C80+B81))</f>
        <v/>
      </c>
      <c r="D81" s="39" t="str">
        <f t="shared" si="14"/>
        <v/>
      </c>
      <c r="E81" s="39" t="str">
        <f t="shared" si="15"/>
        <v/>
      </c>
      <c r="F81" s="40"/>
      <c r="G81" s="39" t="str">
        <f>IF(F81="","",E81*TAN(RADIANS(45-('PROPIEDADES DE LOS SUELOS'!$C$26/2))))</f>
        <v/>
      </c>
      <c r="H81" s="39" t="str">
        <f>IF(F81="","",IF(F81="Geomalla",(1.5*L81)/(DISEÑO!$C$20*TAN(RADIANS('PROPIEDADES DE LOS SUELOS'!$C$26))*DISEÑO!$C$21*'PROPIEDADES DE LOS SUELOS'!$C$24*'DISEÑO ALTERNATIVO'!C81*DISEÑO!$C$25*0.8),(1.5*L81)/(DISEÑO!$C$20*TAN(RADIANS('PROPIEDADES DE LOS SUELOS'!$C$26))*DISEÑO!$C$21*'PROPIEDADES DE LOS SUELOS'!$C$24*'DISEÑO ALTERNATIVO'!C81*DISEÑO!$C$25*0.6)))</f>
        <v/>
      </c>
      <c r="I81" s="39" t="str">
        <f t="shared" si="16"/>
        <v/>
      </c>
      <c r="J81" s="39" t="str">
        <f t="shared" si="17"/>
        <v/>
      </c>
      <c r="K81" s="39" t="str">
        <f>IF(J81="","",'GEOMETRIA DEL MURO'!$F$12)</f>
        <v/>
      </c>
      <c r="L81" s="39" t="str">
        <f>IF(F81="","",(('MC ANALISIS INTERNO'!$D$56*(($E$29*C81)+'CARGAS DISTRIBUIDAS'!$B$13+'CARGAS CONCENTRADAS'!$D$59))+'CARGAS CONCENTRADAS'!$D$34)*D81)</f>
        <v/>
      </c>
      <c r="M81" s="39" t="str">
        <f>IF(H81="","",'DISEÑO POR SISMO'!$D$34*('DISEÑO ALTERNATIVO'!I81/SUM($I$52:I139)))</f>
        <v/>
      </c>
      <c r="N81" s="39" t="str">
        <f t="shared" si="18"/>
        <v/>
      </c>
      <c r="O81" s="192"/>
    </row>
    <row r="82" spans="1:15" x14ac:dyDescent="0.25">
      <c r="A82" s="40" t="str">
        <f t="shared" si="13"/>
        <v/>
      </c>
      <c r="B82" s="39"/>
      <c r="C82" s="39" t="str">
        <f>IF(B82="","",IF(SUM($B$52:B82)&gt;$C$18,"",C81+B82))</f>
        <v/>
      </c>
      <c r="D82" s="39" t="str">
        <f t="shared" si="14"/>
        <v/>
      </c>
      <c r="E82" s="39" t="str">
        <f t="shared" si="15"/>
        <v/>
      </c>
      <c r="F82" s="40"/>
      <c r="G82" s="39" t="str">
        <f>IF(F82="","",E82*TAN(RADIANS(45-('PROPIEDADES DE LOS SUELOS'!$C$26/2))))</f>
        <v/>
      </c>
      <c r="H82" s="39" t="str">
        <f>IF(F82="","",IF(F82="Geomalla",(1.5*L82)/(DISEÑO!$C$20*TAN(RADIANS('PROPIEDADES DE LOS SUELOS'!$C$26))*DISEÑO!$C$21*'PROPIEDADES DE LOS SUELOS'!$C$24*'DISEÑO ALTERNATIVO'!C82*DISEÑO!$C$25*0.8),(1.5*L82)/(DISEÑO!$C$20*TAN(RADIANS('PROPIEDADES DE LOS SUELOS'!$C$26))*DISEÑO!$C$21*'PROPIEDADES DE LOS SUELOS'!$C$24*'DISEÑO ALTERNATIVO'!C82*DISEÑO!$C$25*0.6)))</f>
        <v/>
      </c>
      <c r="I82" s="39" t="str">
        <f t="shared" si="16"/>
        <v/>
      </c>
      <c r="J82" s="39" t="str">
        <f t="shared" si="17"/>
        <v/>
      </c>
      <c r="K82" s="39" t="str">
        <f>IF(J82="","",'GEOMETRIA DEL MURO'!$F$12)</f>
        <v/>
      </c>
      <c r="L82" s="39" t="str">
        <f>IF(F82="","",(('MC ANALISIS INTERNO'!$D$56*(($E$29*C82)+'CARGAS DISTRIBUIDAS'!$B$13+'CARGAS CONCENTRADAS'!$D$59))+'CARGAS CONCENTRADAS'!$D$34)*D82)</f>
        <v/>
      </c>
      <c r="M82" s="39" t="str">
        <f>IF(H82="","",'DISEÑO POR SISMO'!$D$34*('DISEÑO ALTERNATIVO'!I82/SUM($I$52:I140)))</f>
        <v/>
      </c>
      <c r="N82" s="39" t="str">
        <f t="shared" si="18"/>
        <v/>
      </c>
      <c r="O82" s="192"/>
    </row>
    <row r="83" spans="1:15" x14ac:dyDescent="0.25">
      <c r="A83" s="40" t="str">
        <f t="shared" si="13"/>
        <v/>
      </c>
      <c r="B83" s="39"/>
      <c r="C83" s="39" t="str">
        <f>IF(B83="","",IF(SUM($B$52:B83)&gt;$C$18,"",C82+B83))</f>
        <v/>
      </c>
      <c r="D83" s="39" t="str">
        <f t="shared" si="14"/>
        <v/>
      </c>
      <c r="E83" s="39" t="str">
        <f t="shared" si="15"/>
        <v/>
      </c>
      <c r="F83" s="40"/>
      <c r="G83" s="39" t="str">
        <f>IF(F83="","",E83*TAN(RADIANS(45-('PROPIEDADES DE LOS SUELOS'!$C$26/2))))</f>
        <v/>
      </c>
      <c r="H83" s="39" t="str">
        <f>IF(F83="","",IF(F83="Geomalla",(1.5*L83)/(DISEÑO!$C$20*TAN(RADIANS('PROPIEDADES DE LOS SUELOS'!$C$26))*DISEÑO!$C$21*'PROPIEDADES DE LOS SUELOS'!$C$24*'DISEÑO ALTERNATIVO'!C83*DISEÑO!$C$25*0.8),(1.5*L83)/(DISEÑO!$C$20*TAN(RADIANS('PROPIEDADES DE LOS SUELOS'!$C$26))*DISEÑO!$C$21*'PROPIEDADES DE LOS SUELOS'!$C$24*'DISEÑO ALTERNATIVO'!C83*DISEÑO!$C$25*0.6)))</f>
        <v/>
      </c>
      <c r="I83" s="39" t="str">
        <f t="shared" si="16"/>
        <v/>
      </c>
      <c r="J83" s="39" t="str">
        <f t="shared" si="17"/>
        <v/>
      </c>
      <c r="K83" s="39" t="str">
        <f>IF(J83="","",'GEOMETRIA DEL MURO'!$F$12)</f>
        <v/>
      </c>
      <c r="L83" s="39" t="str">
        <f>IF(F83="","",(('MC ANALISIS INTERNO'!$D$56*(($E$29*C83)+'CARGAS DISTRIBUIDAS'!$B$13+'CARGAS CONCENTRADAS'!$D$59))+'CARGAS CONCENTRADAS'!$D$34)*D83)</f>
        <v/>
      </c>
      <c r="M83" s="39" t="str">
        <f>IF(H83="","",'DISEÑO POR SISMO'!$D$34*('DISEÑO ALTERNATIVO'!I83/SUM($I$52:I141)))</f>
        <v/>
      </c>
      <c r="N83" s="39" t="str">
        <f t="shared" si="18"/>
        <v/>
      </c>
      <c r="O83" s="192"/>
    </row>
    <row r="84" spans="1:15" x14ac:dyDescent="0.25">
      <c r="A84" s="40" t="str">
        <f t="shared" si="13"/>
        <v/>
      </c>
      <c r="B84" s="39"/>
      <c r="C84" s="39" t="str">
        <f>IF(B84="","",IF(SUM($B$52:B84)&gt;$C$18,"",C83+B84))</f>
        <v/>
      </c>
      <c r="D84" s="39" t="str">
        <f t="shared" si="14"/>
        <v/>
      </c>
      <c r="E84" s="39" t="str">
        <f t="shared" si="15"/>
        <v/>
      </c>
      <c r="F84" s="40"/>
      <c r="G84" s="39" t="str">
        <f>IF(F84="","",E84*TAN(RADIANS(45-('PROPIEDADES DE LOS SUELOS'!$C$26/2))))</f>
        <v/>
      </c>
      <c r="H84" s="39" t="str">
        <f>IF(F84="","",IF(F84="Geomalla",(1.5*L84)/(DISEÑO!$C$20*TAN(RADIANS('PROPIEDADES DE LOS SUELOS'!$C$26))*DISEÑO!$C$21*'PROPIEDADES DE LOS SUELOS'!$C$24*'DISEÑO ALTERNATIVO'!C84*DISEÑO!$C$25*0.8),(1.5*L84)/(DISEÑO!$C$20*TAN(RADIANS('PROPIEDADES DE LOS SUELOS'!$C$26))*DISEÑO!$C$21*'PROPIEDADES DE LOS SUELOS'!$C$24*'DISEÑO ALTERNATIVO'!C84*DISEÑO!$C$25*0.6)))</f>
        <v/>
      </c>
      <c r="I84" s="39" t="str">
        <f t="shared" si="16"/>
        <v/>
      </c>
      <c r="J84" s="39" t="str">
        <f t="shared" si="17"/>
        <v/>
      </c>
      <c r="K84" s="39" t="str">
        <f>IF(J84="","",'GEOMETRIA DEL MURO'!$F$12)</f>
        <v/>
      </c>
      <c r="L84" s="39" t="str">
        <f>IF(F84="","",(('MC ANALISIS INTERNO'!$D$56*(($E$29*C84)+'CARGAS DISTRIBUIDAS'!$B$13+'CARGAS CONCENTRADAS'!$D$59))+'CARGAS CONCENTRADAS'!$D$34)*D84)</f>
        <v/>
      </c>
      <c r="M84" s="39" t="str">
        <f>IF(H84="","",'DISEÑO POR SISMO'!$D$34*('DISEÑO ALTERNATIVO'!I84/SUM($I$52:I142)))</f>
        <v/>
      </c>
      <c r="N84" s="39" t="str">
        <f t="shared" si="18"/>
        <v/>
      </c>
      <c r="O84" s="192"/>
    </row>
    <row r="85" spans="1:15" x14ac:dyDescent="0.25">
      <c r="A85" s="40" t="str">
        <f t="shared" si="13"/>
        <v/>
      </c>
      <c r="B85" s="39"/>
      <c r="C85" s="39" t="str">
        <f>IF(B85="","",IF(SUM($B$52:B85)&gt;$C$18,"",C84+B85))</f>
        <v/>
      </c>
      <c r="D85" s="39" t="str">
        <f t="shared" si="14"/>
        <v/>
      </c>
      <c r="E85" s="39" t="str">
        <f t="shared" si="15"/>
        <v/>
      </c>
      <c r="F85" s="40"/>
      <c r="G85" s="39" t="str">
        <f>IF(F85="","",E85*TAN(RADIANS(45-('PROPIEDADES DE LOS SUELOS'!$C$26/2))))</f>
        <v/>
      </c>
      <c r="H85" s="39" t="str">
        <f>IF(F85="","",IF(F85="Geomalla",(1.5*L85)/(DISEÑO!$C$20*TAN(RADIANS('PROPIEDADES DE LOS SUELOS'!$C$26))*DISEÑO!$C$21*'PROPIEDADES DE LOS SUELOS'!$C$24*'DISEÑO ALTERNATIVO'!C85*DISEÑO!$C$25*0.8),(1.5*L85)/(DISEÑO!$C$20*TAN(RADIANS('PROPIEDADES DE LOS SUELOS'!$C$26))*DISEÑO!$C$21*'PROPIEDADES DE LOS SUELOS'!$C$24*'DISEÑO ALTERNATIVO'!C85*DISEÑO!$C$25*0.6)))</f>
        <v/>
      </c>
      <c r="I85" s="39" t="str">
        <f t="shared" si="16"/>
        <v/>
      </c>
      <c r="J85" s="39" t="str">
        <f t="shared" si="17"/>
        <v/>
      </c>
      <c r="K85" s="39" t="str">
        <f>IF(J85="","",'GEOMETRIA DEL MURO'!$F$12)</f>
        <v/>
      </c>
      <c r="L85" s="39" t="str">
        <f>IF(F85="","",(('MC ANALISIS INTERNO'!$D$56*(($E$29*C85)+'CARGAS DISTRIBUIDAS'!$B$13+'CARGAS CONCENTRADAS'!$D$59))+'CARGAS CONCENTRADAS'!$D$34)*D85)</f>
        <v/>
      </c>
      <c r="M85" s="39" t="str">
        <f>IF(H85="","",'DISEÑO POR SISMO'!$D$34*('DISEÑO ALTERNATIVO'!I85/SUM($I$52:I143)))</f>
        <v/>
      </c>
      <c r="N85" s="39" t="str">
        <f t="shared" si="18"/>
        <v/>
      </c>
      <c r="O85" s="192"/>
    </row>
    <row r="86" spans="1:15" x14ac:dyDescent="0.25">
      <c r="A86" s="40" t="str">
        <f t="shared" si="13"/>
        <v/>
      </c>
      <c r="B86" s="39"/>
      <c r="C86" s="39" t="str">
        <f>IF(B86="","",IF(SUM($B$52:B86)&gt;$C$18,"",C85+B86))</f>
        <v/>
      </c>
      <c r="D86" s="39" t="str">
        <f t="shared" si="14"/>
        <v/>
      </c>
      <c r="E86" s="39" t="str">
        <f t="shared" si="15"/>
        <v/>
      </c>
      <c r="F86" s="40"/>
      <c r="G86" s="39" t="str">
        <f>IF(F86="","",E86*TAN(RADIANS(45-('PROPIEDADES DE LOS SUELOS'!$C$26/2))))</f>
        <v/>
      </c>
      <c r="H86" s="39" t="str">
        <f>IF(F86="","",IF(F86="Geomalla",(1.5*L86)/(DISEÑO!$C$20*TAN(RADIANS('PROPIEDADES DE LOS SUELOS'!$C$26))*DISEÑO!$C$21*'PROPIEDADES DE LOS SUELOS'!$C$24*'DISEÑO ALTERNATIVO'!C86*DISEÑO!$C$25*0.8),(1.5*L86)/(DISEÑO!$C$20*TAN(RADIANS('PROPIEDADES DE LOS SUELOS'!$C$26))*DISEÑO!$C$21*'PROPIEDADES DE LOS SUELOS'!$C$24*'DISEÑO ALTERNATIVO'!C86*DISEÑO!$C$25*0.6)))</f>
        <v/>
      </c>
      <c r="I86" s="39" t="str">
        <f t="shared" si="16"/>
        <v/>
      </c>
      <c r="J86" s="39" t="str">
        <f t="shared" si="17"/>
        <v/>
      </c>
      <c r="K86" s="39" t="str">
        <f>IF(J86="","",'GEOMETRIA DEL MURO'!$F$12)</f>
        <v/>
      </c>
      <c r="L86" s="39" t="str">
        <f>IF(F86="","",(('MC ANALISIS INTERNO'!$D$56*(($E$29*C86)+'CARGAS DISTRIBUIDAS'!$B$13+'CARGAS CONCENTRADAS'!$D$59))+'CARGAS CONCENTRADAS'!$D$34)*D86)</f>
        <v/>
      </c>
      <c r="M86" s="39" t="str">
        <f>IF(H86="","",'DISEÑO POR SISMO'!$D$34*('DISEÑO ALTERNATIVO'!I86/SUM($I$52:I144)))</f>
        <v/>
      </c>
      <c r="N86" s="39" t="str">
        <f t="shared" si="18"/>
        <v/>
      </c>
      <c r="O86" s="192"/>
    </row>
    <row r="87" spans="1:15" x14ac:dyDescent="0.25">
      <c r="A87" s="40" t="str">
        <f t="shared" si="13"/>
        <v/>
      </c>
      <c r="B87" s="39"/>
      <c r="C87" s="39" t="str">
        <f>IF(B87="","",IF(SUM($B$52:B87)&gt;$C$18,"",C86+B87))</f>
        <v/>
      </c>
      <c r="D87" s="39" t="str">
        <f t="shared" si="14"/>
        <v/>
      </c>
      <c r="E87" s="39" t="str">
        <f t="shared" si="15"/>
        <v/>
      </c>
      <c r="F87" s="40"/>
      <c r="G87" s="39" t="str">
        <f>IF(F87="","",E87*TAN(RADIANS(45-('PROPIEDADES DE LOS SUELOS'!$C$26/2))))</f>
        <v/>
      </c>
      <c r="H87" s="39" t="str">
        <f>IF(F87="","",IF(F87="Geomalla",(1.5*L87)/(DISEÑO!$C$20*TAN(RADIANS('PROPIEDADES DE LOS SUELOS'!$C$26))*DISEÑO!$C$21*'PROPIEDADES DE LOS SUELOS'!$C$24*'DISEÑO ALTERNATIVO'!C87*DISEÑO!$C$25*0.8),(1.5*L87)/(DISEÑO!$C$20*TAN(RADIANS('PROPIEDADES DE LOS SUELOS'!$C$26))*DISEÑO!$C$21*'PROPIEDADES DE LOS SUELOS'!$C$24*'DISEÑO ALTERNATIVO'!C87*DISEÑO!$C$25*0.6)))</f>
        <v/>
      </c>
      <c r="I87" s="39" t="str">
        <f t="shared" si="16"/>
        <v/>
      </c>
      <c r="J87" s="39" t="str">
        <f t="shared" si="17"/>
        <v/>
      </c>
      <c r="K87" s="39" t="str">
        <f>IF(J87="","",'GEOMETRIA DEL MURO'!$F$12)</f>
        <v/>
      </c>
      <c r="L87" s="39" t="str">
        <f>IF(F87="","",(('MC ANALISIS INTERNO'!$D$56*(($E$29*C87)+'CARGAS DISTRIBUIDAS'!$B$13+'CARGAS CONCENTRADAS'!$D$59))+'CARGAS CONCENTRADAS'!$D$34)*D87)</f>
        <v/>
      </c>
      <c r="M87" s="39" t="str">
        <f>IF(H87="","",'DISEÑO POR SISMO'!$D$34*('DISEÑO ALTERNATIVO'!I87/SUM($I$52:I145)))</f>
        <v/>
      </c>
      <c r="N87" s="39" t="str">
        <f t="shared" si="18"/>
        <v/>
      </c>
      <c r="O87" s="192"/>
    </row>
    <row r="88" spans="1:15" x14ac:dyDescent="0.25">
      <c r="A88" s="40" t="str">
        <f t="shared" si="13"/>
        <v/>
      </c>
      <c r="B88" s="39"/>
      <c r="C88" s="39" t="str">
        <f>IF(B88="","",IF(SUM($B$52:B88)&gt;$C$18,"",C87+B88))</f>
        <v/>
      </c>
      <c r="D88" s="39" t="str">
        <f t="shared" si="14"/>
        <v/>
      </c>
      <c r="E88" s="39" t="str">
        <f t="shared" si="15"/>
        <v/>
      </c>
      <c r="F88" s="40"/>
      <c r="G88" s="39" t="str">
        <f>IF(F88="","",E88*TAN(RADIANS(45-('PROPIEDADES DE LOS SUELOS'!$C$26/2))))</f>
        <v/>
      </c>
      <c r="H88" s="39" t="str">
        <f>IF(F88="","",IF(F88="Geomalla",(1.5*L88)/(DISEÑO!$C$20*TAN(RADIANS('PROPIEDADES DE LOS SUELOS'!$C$26))*DISEÑO!$C$21*'PROPIEDADES DE LOS SUELOS'!$C$24*'DISEÑO ALTERNATIVO'!C88*DISEÑO!$C$25*0.8),(1.5*L88)/(DISEÑO!$C$20*TAN(RADIANS('PROPIEDADES DE LOS SUELOS'!$C$26))*DISEÑO!$C$21*'PROPIEDADES DE LOS SUELOS'!$C$24*'DISEÑO ALTERNATIVO'!C88*DISEÑO!$C$25*0.6)))</f>
        <v/>
      </c>
      <c r="I88" s="39" t="str">
        <f t="shared" si="16"/>
        <v/>
      </c>
      <c r="J88" s="39" t="str">
        <f t="shared" si="17"/>
        <v/>
      </c>
      <c r="K88" s="39" t="str">
        <f>IF(J88="","",'GEOMETRIA DEL MURO'!$F$12)</f>
        <v/>
      </c>
      <c r="L88" s="39" t="str">
        <f>IF(F88="","",(('MC ANALISIS INTERNO'!$D$56*(($E$29*C88)+'CARGAS DISTRIBUIDAS'!$B$13+'CARGAS CONCENTRADAS'!$D$59))+'CARGAS CONCENTRADAS'!$D$34)*D88)</f>
        <v/>
      </c>
      <c r="M88" s="39" t="str">
        <f>IF(H88="","",'DISEÑO POR SISMO'!$D$34*('DISEÑO ALTERNATIVO'!I88/SUM($I$52:I146)))</f>
        <v/>
      </c>
      <c r="N88" s="39" t="str">
        <f t="shared" si="18"/>
        <v/>
      </c>
      <c r="O88" s="192"/>
    </row>
    <row r="89" spans="1:15" x14ac:dyDescent="0.25">
      <c r="A89" s="40" t="str">
        <f t="shared" si="13"/>
        <v/>
      </c>
      <c r="B89" s="39"/>
      <c r="C89" s="39" t="str">
        <f>IF(B89="","",IF(SUM($B$52:B89)&gt;$C$18,"",C88+B89))</f>
        <v/>
      </c>
      <c r="D89" s="39" t="str">
        <f t="shared" si="14"/>
        <v/>
      </c>
      <c r="E89" s="39" t="str">
        <f t="shared" si="15"/>
        <v/>
      </c>
      <c r="F89" s="40"/>
      <c r="G89" s="39" t="str">
        <f>IF(F89="","",E89*TAN(RADIANS(45-('PROPIEDADES DE LOS SUELOS'!$C$26/2))))</f>
        <v/>
      </c>
      <c r="H89" s="39" t="str">
        <f>IF(F89="","",IF(F89="Geomalla",(1.5*L89)/(DISEÑO!$C$20*TAN(RADIANS('PROPIEDADES DE LOS SUELOS'!$C$26))*DISEÑO!$C$21*'PROPIEDADES DE LOS SUELOS'!$C$24*'DISEÑO ALTERNATIVO'!C89*DISEÑO!$C$25*0.8),(1.5*L89)/(DISEÑO!$C$20*TAN(RADIANS('PROPIEDADES DE LOS SUELOS'!$C$26))*DISEÑO!$C$21*'PROPIEDADES DE LOS SUELOS'!$C$24*'DISEÑO ALTERNATIVO'!C89*DISEÑO!$C$25*0.6)))</f>
        <v/>
      </c>
      <c r="I89" s="39" t="str">
        <f t="shared" si="16"/>
        <v/>
      </c>
      <c r="J89" s="39" t="str">
        <f t="shared" si="17"/>
        <v/>
      </c>
      <c r="K89" s="39" t="str">
        <f>IF(J89="","",'GEOMETRIA DEL MURO'!$F$12)</f>
        <v/>
      </c>
      <c r="L89" s="39" t="str">
        <f>IF(F89="","",(('MC ANALISIS INTERNO'!$D$56*(($E$29*C89)+'CARGAS DISTRIBUIDAS'!$B$13+'CARGAS CONCENTRADAS'!$D$59))+'CARGAS CONCENTRADAS'!$D$34)*D89)</f>
        <v/>
      </c>
      <c r="M89" s="39" t="str">
        <f>IF(H89="","",'DISEÑO POR SISMO'!$D$34*('DISEÑO ALTERNATIVO'!I89/SUM($I$52:I147)))</f>
        <v/>
      </c>
      <c r="N89" s="39" t="str">
        <f t="shared" si="18"/>
        <v/>
      </c>
      <c r="O89" s="192"/>
    </row>
    <row r="90" spans="1:15" x14ac:dyDescent="0.25">
      <c r="A90" s="40" t="str">
        <f t="shared" si="13"/>
        <v/>
      </c>
      <c r="B90" s="39"/>
      <c r="C90" s="39" t="str">
        <f>IF(B90="","",IF(SUM($B$52:B90)&gt;$C$18,"",C89+B90))</f>
        <v/>
      </c>
      <c r="D90" s="39" t="str">
        <f t="shared" si="14"/>
        <v/>
      </c>
      <c r="E90" s="39" t="str">
        <f t="shared" si="15"/>
        <v/>
      </c>
      <c r="F90" s="40"/>
      <c r="G90" s="39" t="str">
        <f>IF(F90="","",E90*TAN(RADIANS(45-('PROPIEDADES DE LOS SUELOS'!$C$26/2))))</f>
        <v/>
      </c>
      <c r="H90" s="39" t="str">
        <f>IF(F90="","",IF(F90="Geomalla",(1.5*L90)/(DISEÑO!$C$20*TAN(RADIANS('PROPIEDADES DE LOS SUELOS'!$C$26))*DISEÑO!$C$21*'PROPIEDADES DE LOS SUELOS'!$C$24*'DISEÑO ALTERNATIVO'!C90*DISEÑO!$C$25*0.8),(1.5*L90)/(DISEÑO!$C$20*TAN(RADIANS('PROPIEDADES DE LOS SUELOS'!$C$26))*DISEÑO!$C$21*'PROPIEDADES DE LOS SUELOS'!$C$24*'DISEÑO ALTERNATIVO'!C90*DISEÑO!$C$25*0.6)))</f>
        <v/>
      </c>
      <c r="I90" s="39" t="str">
        <f t="shared" si="16"/>
        <v/>
      </c>
      <c r="J90" s="39" t="str">
        <f t="shared" si="17"/>
        <v/>
      </c>
      <c r="K90" s="39" t="str">
        <f>IF(J90="","",'GEOMETRIA DEL MURO'!$F$12)</f>
        <v/>
      </c>
      <c r="L90" s="39" t="str">
        <f>IF(F90="","",(('MC ANALISIS INTERNO'!$D$56*(($E$29*C90)+'CARGAS DISTRIBUIDAS'!$B$13+'CARGAS CONCENTRADAS'!$D$59))+'CARGAS CONCENTRADAS'!$D$34)*D90)</f>
        <v/>
      </c>
      <c r="M90" s="39" t="str">
        <f>IF(H90="","",'DISEÑO POR SISMO'!$D$34*('DISEÑO ALTERNATIVO'!I90/SUM($I$52:I148)))</f>
        <v/>
      </c>
      <c r="N90" s="39" t="str">
        <f t="shared" si="18"/>
        <v/>
      </c>
      <c r="O90" s="192"/>
    </row>
    <row r="91" spans="1:15" x14ac:dyDescent="0.25">
      <c r="A91" s="40" t="str">
        <f t="shared" si="13"/>
        <v/>
      </c>
      <c r="B91" s="39"/>
      <c r="C91" s="39" t="str">
        <f>IF(B91="","",IF(SUM($B$52:B91)&gt;$C$18,"",C90+B91))</f>
        <v/>
      </c>
      <c r="D91" s="39" t="str">
        <f t="shared" si="14"/>
        <v/>
      </c>
      <c r="E91" s="39" t="str">
        <f t="shared" si="15"/>
        <v/>
      </c>
      <c r="F91" s="40"/>
      <c r="G91" s="39" t="str">
        <f>IF(F91="","",E91*TAN(RADIANS(45-('PROPIEDADES DE LOS SUELOS'!$C$26/2))))</f>
        <v/>
      </c>
      <c r="H91" s="39" t="str">
        <f>IF(F91="","",IF(F91="Geomalla",(1.5*L91)/(DISEÑO!$C$20*TAN(RADIANS('PROPIEDADES DE LOS SUELOS'!$C$26))*DISEÑO!$C$21*'PROPIEDADES DE LOS SUELOS'!$C$24*'DISEÑO ALTERNATIVO'!C91*DISEÑO!$C$25*0.8),(1.5*L91)/(DISEÑO!$C$20*TAN(RADIANS('PROPIEDADES DE LOS SUELOS'!$C$26))*DISEÑO!$C$21*'PROPIEDADES DE LOS SUELOS'!$C$24*'DISEÑO ALTERNATIVO'!C91*DISEÑO!$C$25*0.6)))</f>
        <v/>
      </c>
      <c r="I91" s="39" t="str">
        <f t="shared" si="16"/>
        <v/>
      </c>
      <c r="J91" s="39" t="str">
        <f t="shared" si="17"/>
        <v/>
      </c>
      <c r="K91" s="39" t="str">
        <f>IF(J91="","",'GEOMETRIA DEL MURO'!$F$12)</f>
        <v/>
      </c>
      <c r="L91" s="39" t="str">
        <f>IF(F91="","",(('MC ANALISIS INTERNO'!$D$56*(($E$29*C91)+'CARGAS DISTRIBUIDAS'!$B$13+'CARGAS CONCENTRADAS'!$D$59))+'CARGAS CONCENTRADAS'!$D$34)*D91)</f>
        <v/>
      </c>
      <c r="M91" s="39" t="str">
        <f>IF(H91="","",'DISEÑO POR SISMO'!$D$34*('DISEÑO ALTERNATIVO'!I91/SUM($I$52:I149)))</f>
        <v/>
      </c>
      <c r="N91" s="39" t="str">
        <f t="shared" si="18"/>
        <v/>
      </c>
      <c r="O91" s="192"/>
    </row>
    <row r="92" spans="1:15" x14ac:dyDescent="0.25">
      <c r="A92" s="40" t="str">
        <f t="shared" si="13"/>
        <v/>
      </c>
      <c r="B92" s="39"/>
      <c r="C92" s="39" t="str">
        <f>IF(B92="","",IF(SUM($B$52:B92)&gt;$C$18,"",C91+B92))</f>
        <v/>
      </c>
      <c r="D92" s="39" t="str">
        <f t="shared" si="14"/>
        <v/>
      </c>
      <c r="E92" s="39" t="str">
        <f t="shared" si="15"/>
        <v/>
      </c>
      <c r="F92" s="40"/>
      <c r="G92" s="39" t="str">
        <f>IF(F92="","",E92*TAN(RADIANS(45-('PROPIEDADES DE LOS SUELOS'!$C$26/2))))</f>
        <v/>
      </c>
      <c r="H92" s="39" t="str">
        <f>IF(F92="","",IF(F92="Geomalla",(1.5*L92)/(DISEÑO!$C$20*TAN(RADIANS('PROPIEDADES DE LOS SUELOS'!$C$26))*DISEÑO!$C$21*'PROPIEDADES DE LOS SUELOS'!$C$24*'DISEÑO ALTERNATIVO'!C92*DISEÑO!$C$25*0.8),(1.5*L92)/(DISEÑO!$C$20*TAN(RADIANS('PROPIEDADES DE LOS SUELOS'!$C$26))*DISEÑO!$C$21*'PROPIEDADES DE LOS SUELOS'!$C$24*'DISEÑO ALTERNATIVO'!C92*DISEÑO!$C$25*0.6)))</f>
        <v/>
      </c>
      <c r="I92" s="39" t="str">
        <f t="shared" si="16"/>
        <v/>
      </c>
      <c r="J92" s="39" t="str">
        <f t="shared" si="17"/>
        <v/>
      </c>
      <c r="K92" s="39" t="str">
        <f>IF(J92="","",'GEOMETRIA DEL MURO'!$F$12)</f>
        <v/>
      </c>
      <c r="L92" s="39" t="str">
        <f>IF(F92="","",(('MC ANALISIS INTERNO'!$D$56*(($E$29*C92)+'CARGAS DISTRIBUIDAS'!$B$13+'CARGAS CONCENTRADAS'!$D$59))+'CARGAS CONCENTRADAS'!$D$34)*D92)</f>
        <v/>
      </c>
      <c r="M92" s="39" t="str">
        <f>IF(H92="","",'DISEÑO POR SISMO'!$D$34*('DISEÑO ALTERNATIVO'!I92/SUM($I$52:I150)))</f>
        <v/>
      </c>
      <c r="N92" s="39" t="str">
        <f t="shared" si="18"/>
        <v/>
      </c>
      <c r="O92" s="192"/>
    </row>
    <row r="93" spans="1:15" x14ac:dyDescent="0.25">
      <c r="A93" s="40" t="str">
        <f t="shared" si="13"/>
        <v/>
      </c>
      <c r="B93" s="39"/>
      <c r="C93" s="39" t="str">
        <f>IF(B93="","",IF(SUM($B$52:B93)&gt;$C$18,"",C92+B93))</f>
        <v/>
      </c>
      <c r="D93" s="39" t="str">
        <f t="shared" si="14"/>
        <v/>
      </c>
      <c r="E93" s="39" t="str">
        <f t="shared" si="15"/>
        <v/>
      </c>
      <c r="F93" s="40"/>
      <c r="G93" s="39" t="str">
        <f>IF(F93="","",E93*TAN(RADIANS(45-('PROPIEDADES DE LOS SUELOS'!$C$26/2))))</f>
        <v/>
      </c>
      <c r="H93" s="39" t="str">
        <f>IF(F93="","",IF(F93="Geomalla",(1.5*L93)/(DISEÑO!$C$20*TAN(RADIANS('PROPIEDADES DE LOS SUELOS'!$C$26))*DISEÑO!$C$21*'PROPIEDADES DE LOS SUELOS'!$C$24*'DISEÑO ALTERNATIVO'!C93*DISEÑO!$C$25*0.8),(1.5*L93)/(DISEÑO!$C$20*TAN(RADIANS('PROPIEDADES DE LOS SUELOS'!$C$26))*DISEÑO!$C$21*'PROPIEDADES DE LOS SUELOS'!$C$24*'DISEÑO ALTERNATIVO'!C93*DISEÑO!$C$25*0.6)))</f>
        <v/>
      </c>
      <c r="I93" s="39" t="str">
        <f t="shared" si="16"/>
        <v/>
      </c>
      <c r="J93" s="39" t="str">
        <f t="shared" si="17"/>
        <v/>
      </c>
      <c r="K93" s="39" t="str">
        <f>IF(J93="","",'GEOMETRIA DEL MURO'!$F$12)</f>
        <v/>
      </c>
      <c r="L93" s="39" t="str">
        <f>IF(F93="","",(('MC ANALISIS INTERNO'!$D$56*(($E$29*C93)+'CARGAS DISTRIBUIDAS'!$B$13+'CARGAS CONCENTRADAS'!$D$59))+'CARGAS CONCENTRADAS'!$D$34)*D93)</f>
        <v/>
      </c>
      <c r="M93" s="39" t="str">
        <f>IF(H93="","",'DISEÑO POR SISMO'!$D$34*('DISEÑO ALTERNATIVO'!I93/SUM($I$52:I151)))</f>
        <v/>
      </c>
      <c r="N93" s="39" t="str">
        <f t="shared" si="18"/>
        <v/>
      </c>
      <c r="O93" s="192"/>
    </row>
    <row r="94" spans="1:15" x14ac:dyDescent="0.25">
      <c r="A94" s="40" t="str">
        <f t="shared" si="13"/>
        <v/>
      </c>
      <c r="B94" s="39"/>
      <c r="C94" s="39" t="str">
        <f>IF(B94="","",IF(SUM($B$52:B94)&gt;$C$18,"",C93+B94))</f>
        <v/>
      </c>
      <c r="D94" s="39" t="str">
        <f t="shared" si="14"/>
        <v/>
      </c>
      <c r="E94" s="39" t="str">
        <f t="shared" si="15"/>
        <v/>
      </c>
      <c r="F94" s="40"/>
      <c r="G94" s="39" t="str">
        <f>IF(F94="","",E94*TAN(RADIANS(45-('PROPIEDADES DE LOS SUELOS'!$C$26/2))))</f>
        <v/>
      </c>
      <c r="H94" s="39" t="str">
        <f>IF(F94="","",IF(F94="Geomalla",(1.5*L94)/(DISEÑO!$C$20*TAN(RADIANS('PROPIEDADES DE LOS SUELOS'!$C$26))*DISEÑO!$C$21*'PROPIEDADES DE LOS SUELOS'!$C$24*'DISEÑO ALTERNATIVO'!C94*DISEÑO!$C$25*0.8),(1.5*L94)/(DISEÑO!$C$20*TAN(RADIANS('PROPIEDADES DE LOS SUELOS'!$C$26))*DISEÑO!$C$21*'PROPIEDADES DE LOS SUELOS'!$C$24*'DISEÑO ALTERNATIVO'!C94*DISEÑO!$C$25*0.6)))</f>
        <v/>
      </c>
      <c r="I94" s="39" t="str">
        <f t="shared" si="16"/>
        <v/>
      </c>
      <c r="J94" s="39" t="str">
        <f t="shared" si="17"/>
        <v/>
      </c>
      <c r="K94" s="39" t="str">
        <f>IF(J94="","",'GEOMETRIA DEL MURO'!$F$12)</f>
        <v/>
      </c>
      <c r="L94" s="39" t="str">
        <f>IF(F94="","",(('MC ANALISIS INTERNO'!$D$56*(($E$29*C94)+'CARGAS DISTRIBUIDAS'!$B$13+'CARGAS CONCENTRADAS'!$D$59))+'CARGAS CONCENTRADAS'!$D$34)*D94)</f>
        <v/>
      </c>
      <c r="M94" s="39" t="str">
        <f>IF(H94="","",'DISEÑO POR SISMO'!$D$34*('DISEÑO ALTERNATIVO'!I94/SUM($I$52:I152)))</f>
        <v/>
      </c>
      <c r="N94" s="39" t="str">
        <f t="shared" si="18"/>
        <v/>
      </c>
      <c r="O94" s="192"/>
    </row>
    <row r="95" spans="1:15" x14ac:dyDescent="0.25">
      <c r="A95" s="40" t="str">
        <f t="shared" si="13"/>
        <v/>
      </c>
      <c r="B95" s="39"/>
      <c r="C95" s="39" t="str">
        <f>IF(B95="","",IF(SUM($B$52:B95)&gt;$C$18,"",C94+B95))</f>
        <v/>
      </c>
      <c r="D95" s="39" t="str">
        <f t="shared" si="14"/>
        <v/>
      </c>
      <c r="E95" s="39" t="str">
        <f t="shared" si="15"/>
        <v/>
      </c>
      <c r="F95" s="40"/>
      <c r="G95" s="39" t="str">
        <f>IF(F95="","",E95*TAN(RADIANS(45-('PROPIEDADES DE LOS SUELOS'!$C$26/2))))</f>
        <v/>
      </c>
      <c r="H95" s="39" t="str">
        <f>IF(F95="","",IF(F95="Geomalla",(1.5*L95)/(DISEÑO!$C$20*TAN(RADIANS('PROPIEDADES DE LOS SUELOS'!$C$26))*DISEÑO!$C$21*'PROPIEDADES DE LOS SUELOS'!$C$24*'DISEÑO ALTERNATIVO'!C95*DISEÑO!$C$25*0.8),(1.5*L95)/(DISEÑO!$C$20*TAN(RADIANS('PROPIEDADES DE LOS SUELOS'!$C$26))*DISEÑO!$C$21*'PROPIEDADES DE LOS SUELOS'!$C$24*'DISEÑO ALTERNATIVO'!C95*DISEÑO!$C$25*0.6)))</f>
        <v/>
      </c>
      <c r="I95" s="39" t="str">
        <f t="shared" si="16"/>
        <v/>
      </c>
      <c r="J95" s="39" t="str">
        <f t="shared" si="17"/>
        <v/>
      </c>
      <c r="K95" s="39" t="str">
        <f>IF(J95="","",'GEOMETRIA DEL MURO'!$F$12)</f>
        <v/>
      </c>
      <c r="L95" s="39" t="str">
        <f>IF(F95="","",(('MC ANALISIS INTERNO'!$D$56*(($E$29*C95)+'CARGAS DISTRIBUIDAS'!$B$13+'CARGAS CONCENTRADAS'!$D$59))+'CARGAS CONCENTRADAS'!$D$34)*D95)</f>
        <v/>
      </c>
      <c r="M95" s="39" t="str">
        <f>IF(H95="","",'DISEÑO POR SISMO'!$D$34*('DISEÑO ALTERNATIVO'!I95/SUM($I$52:I153)))</f>
        <v/>
      </c>
      <c r="N95" s="39" t="str">
        <f t="shared" si="18"/>
        <v/>
      </c>
      <c r="O95" s="192"/>
    </row>
    <row r="96" spans="1:15" x14ac:dyDescent="0.25">
      <c r="A96" s="40" t="str">
        <f t="shared" si="13"/>
        <v/>
      </c>
      <c r="B96" s="39"/>
      <c r="C96" s="39" t="str">
        <f>IF(B96="","",IF(SUM($B$52:B96)&gt;$C$18,"",C95+B96))</f>
        <v/>
      </c>
      <c r="D96" s="39" t="str">
        <f t="shared" si="14"/>
        <v/>
      </c>
      <c r="E96" s="39" t="str">
        <f t="shared" si="15"/>
        <v/>
      </c>
      <c r="F96" s="40"/>
      <c r="G96" s="39" t="str">
        <f>IF(F96="","",E96*TAN(RADIANS(45-('PROPIEDADES DE LOS SUELOS'!$C$26/2))))</f>
        <v/>
      </c>
      <c r="H96" s="39" t="str">
        <f>IF(F96="","",IF(F96="Geomalla",(1.5*L96)/(DISEÑO!$C$20*TAN(RADIANS('PROPIEDADES DE LOS SUELOS'!$C$26))*DISEÑO!$C$21*'PROPIEDADES DE LOS SUELOS'!$C$24*'DISEÑO ALTERNATIVO'!C96*DISEÑO!$C$25*0.8),(1.5*L96)/(DISEÑO!$C$20*TAN(RADIANS('PROPIEDADES DE LOS SUELOS'!$C$26))*DISEÑO!$C$21*'PROPIEDADES DE LOS SUELOS'!$C$24*'DISEÑO ALTERNATIVO'!C96*DISEÑO!$C$25*0.6)))</f>
        <v/>
      </c>
      <c r="I96" s="39" t="str">
        <f t="shared" si="16"/>
        <v/>
      </c>
      <c r="J96" s="39" t="str">
        <f t="shared" si="17"/>
        <v/>
      </c>
      <c r="K96" s="39" t="str">
        <f>IF(J96="","",'GEOMETRIA DEL MURO'!$F$12)</f>
        <v/>
      </c>
      <c r="L96" s="39" t="str">
        <f>IF(F96="","",(('MC ANALISIS INTERNO'!$D$56*(($E$29*C96)+'CARGAS DISTRIBUIDAS'!$B$13+'CARGAS CONCENTRADAS'!$D$59))+'CARGAS CONCENTRADAS'!$D$34)*D96)</f>
        <v/>
      </c>
      <c r="M96" s="39" t="str">
        <f>IF(H96="","",'DISEÑO POR SISMO'!$D$34*('DISEÑO ALTERNATIVO'!I96/SUM($I$52:I154)))</f>
        <v/>
      </c>
      <c r="N96" s="39" t="str">
        <f t="shared" si="18"/>
        <v/>
      </c>
      <c r="O96" s="192"/>
    </row>
    <row r="97" spans="1:16" x14ac:dyDescent="0.25">
      <c r="A97" s="40" t="str">
        <f t="shared" si="13"/>
        <v/>
      </c>
      <c r="B97" s="39"/>
      <c r="C97" s="39" t="str">
        <f>IF(B97="","",IF(SUM($B$52:B97)&gt;$C$18,"",C96+B97))</f>
        <v/>
      </c>
      <c r="D97" s="39" t="str">
        <f t="shared" si="14"/>
        <v/>
      </c>
      <c r="E97" s="39" t="str">
        <f t="shared" si="15"/>
        <v/>
      </c>
      <c r="F97" s="40"/>
      <c r="G97" s="39" t="str">
        <f>IF(F97="","",E97*TAN(RADIANS(45-('PROPIEDADES DE LOS SUELOS'!$C$26/2))))</f>
        <v/>
      </c>
      <c r="H97" s="39" t="str">
        <f>IF(F97="","",IF(F97="Geomalla",(1.5*L97)/(DISEÑO!$C$20*TAN(RADIANS('PROPIEDADES DE LOS SUELOS'!$C$26))*DISEÑO!$C$21*'PROPIEDADES DE LOS SUELOS'!$C$24*'DISEÑO ALTERNATIVO'!C97*DISEÑO!$C$25*0.8),(1.5*L97)/(DISEÑO!$C$20*TAN(RADIANS('PROPIEDADES DE LOS SUELOS'!$C$26))*DISEÑO!$C$21*'PROPIEDADES DE LOS SUELOS'!$C$24*'DISEÑO ALTERNATIVO'!C97*DISEÑO!$C$25*0.6)))</f>
        <v/>
      </c>
      <c r="I97" s="39" t="str">
        <f t="shared" si="16"/>
        <v/>
      </c>
      <c r="J97" s="39" t="str">
        <f t="shared" si="17"/>
        <v/>
      </c>
      <c r="K97" s="39" t="str">
        <f>IF(J97="","",'GEOMETRIA DEL MURO'!$F$12)</f>
        <v/>
      </c>
      <c r="L97" s="39" t="str">
        <f>IF(F97="","",(('MC ANALISIS INTERNO'!$D$56*(($E$29*C97)+'CARGAS DISTRIBUIDAS'!$B$13+'CARGAS CONCENTRADAS'!$D$59))+'CARGAS CONCENTRADAS'!$D$34)*D97)</f>
        <v/>
      </c>
      <c r="M97" s="39" t="str">
        <f>IF(H97="","",'DISEÑO POR SISMO'!$D$34*('DISEÑO ALTERNATIVO'!I97/SUM($I$52:I155)))</f>
        <v/>
      </c>
      <c r="N97" s="39" t="str">
        <f t="shared" si="18"/>
        <v/>
      </c>
      <c r="O97" s="192"/>
      <c r="P97" s="34"/>
    </row>
    <row r="98" spans="1:16" x14ac:dyDescent="0.25">
      <c r="A98" s="40" t="str">
        <f t="shared" si="13"/>
        <v/>
      </c>
      <c r="B98" s="39"/>
      <c r="C98" s="39" t="str">
        <f>IF(B98="","",IF(SUM($B$52:B98)&gt;$C$18,"",C97+B98))</f>
        <v/>
      </c>
      <c r="D98" s="39" t="str">
        <f t="shared" si="14"/>
        <v/>
      </c>
      <c r="E98" s="39" t="str">
        <f t="shared" si="15"/>
        <v/>
      </c>
      <c r="F98" s="40"/>
      <c r="G98" s="39" t="str">
        <f>IF(F98="","",E98*TAN(RADIANS(45-('PROPIEDADES DE LOS SUELOS'!$C$26/2))))</f>
        <v/>
      </c>
      <c r="H98" s="39" t="str">
        <f>IF(F98="","",IF(F98="Geomalla",(1.5*L98)/(DISEÑO!$C$20*TAN(RADIANS('PROPIEDADES DE LOS SUELOS'!$C$26))*DISEÑO!$C$21*'PROPIEDADES DE LOS SUELOS'!$C$24*'DISEÑO ALTERNATIVO'!C98*DISEÑO!$C$25*0.8),(1.5*L98)/(DISEÑO!$C$20*TAN(RADIANS('PROPIEDADES DE LOS SUELOS'!$C$26))*DISEÑO!$C$21*'PROPIEDADES DE LOS SUELOS'!$C$24*'DISEÑO ALTERNATIVO'!C98*DISEÑO!$C$25*0.6)))</f>
        <v/>
      </c>
      <c r="I98" s="39" t="str">
        <f t="shared" si="16"/>
        <v/>
      </c>
      <c r="J98" s="39" t="str">
        <f t="shared" si="17"/>
        <v/>
      </c>
      <c r="K98" s="39" t="str">
        <f>IF(J98="","",'GEOMETRIA DEL MURO'!$F$12)</f>
        <v/>
      </c>
      <c r="L98" s="39" t="str">
        <f>IF(F98="","",(('MC ANALISIS INTERNO'!$D$56*(($E$29*C98)+'CARGAS DISTRIBUIDAS'!$B$13+'CARGAS CONCENTRADAS'!$D$59))+'CARGAS CONCENTRADAS'!$D$34)*D98)</f>
        <v/>
      </c>
      <c r="M98" s="39" t="str">
        <f>IF(H98="","",'DISEÑO POR SISMO'!$D$34*('DISEÑO ALTERNATIVO'!I98/SUM($I$52:I156)))</f>
        <v/>
      </c>
      <c r="N98" s="39" t="str">
        <f t="shared" si="18"/>
        <v/>
      </c>
      <c r="O98" s="192"/>
      <c r="P98" s="34"/>
    </row>
    <row r="99" spans="1:16" x14ac:dyDescent="0.25">
      <c r="A99" s="40" t="str">
        <f t="shared" si="13"/>
        <v/>
      </c>
      <c r="B99" s="39"/>
      <c r="C99" s="39" t="str">
        <f>IF(B99="","",IF(SUM($B$52:B99)&gt;$C$18,"",C98+B99))</f>
        <v/>
      </c>
      <c r="D99" s="39" t="str">
        <f t="shared" si="14"/>
        <v/>
      </c>
      <c r="E99" s="39" t="str">
        <f t="shared" si="15"/>
        <v/>
      </c>
      <c r="F99" s="40"/>
      <c r="G99" s="39" t="str">
        <f>IF(F99="","",E99*TAN(RADIANS(45-('PROPIEDADES DE LOS SUELOS'!$C$26/2))))</f>
        <v/>
      </c>
      <c r="H99" s="39" t="str">
        <f>IF(F99="","",IF(F99="Geomalla",(1.5*L99)/(DISEÑO!$C$20*TAN(RADIANS('PROPIEDADES DE LOS SUELOS'!$C$26))*DISEÑO!$C$21*'PROPIEDADES DE LOS SUELOS'!$C$24*'DISEÑO ALTERNATIVO'!C99*DISEÑO!$C$25*0.8),(1.5*L99)/(DISEÑO!$C$20*TAN(RADIANS('PROPIEDADES DE LOS SUELOS'!$C$26))*DISEÑO!$C$21*'PROPIEDADES DE LOS SUELOS'!$C$24*'DISEÑO ALTERNATIVO'!C99*DISEÑO!$C$25*0.6)))</f>
        <v/>
      </c>
      <c r="I99" s="39" t="str">
        <f t="shared" si="16"/>
        <v/>
      </c>
      <c r="J99" s="39" t="str">
        <f t="shared" si="17"/>
        <v/>
      </c>
      <c r="K99" s="39" t="str">
        <f>IF(J99="","",'GEOMETRIA DEL MURO'!$F$12)</f>
        <v/>
      </c>
      <c r="L99" s="39" t="str">
        <f>IF(F99="","",(('MC ANALISIS INTERNO'!$D$56*(($E$29*C99)+'CARGAS DISTRIBUIDAS'!$B$13+'CARGAS CONCENTRADAS'!$D$59))+'CARGAS CONCENTRADAS'!$D$34)*D99)</f>
        <v/>
      </c>
      <c r="M99" s="39" t="str">
        <f>IF(H99="","",'DISEÑO POR SISMO'!$D$34*('DISEÑO ALTERNATIVO'!I99/SUM($I$52:I157)))</f>
        <v/>
      </c>
      <c r="N99" s="39" t="str">
        <f t="shared" si="18"/>
        <v/>
      </c>
      <c r="O99" s="192"/>
    </row>
    <row r="100" spans="1:16" x14ac:dyDescent="0.25">
      <c r="A100" s="40" t="str">
        <f t="shared" si="13"/>
        <v/>
      </c>
      <c r="B100" s="39"/>
      <c r="C100" s="39" t="str">
        <f>IF(B100="","",IF(SUM($B$52:B100)&gt;$C$18,"",C99+B100))</f>
        <v/>
      </c>
      <c r="D100" s="39" t="str">
        <f t="shared" si="14"/>
        <v/>
      </c>
      <c r="E100" s="39" t="str">
        <f t="shared" si="15"/>
        <v/>
      </c>
      <c r="F100" s="40"/>
      <c r="G100" s="39" t="str">
        <f>IF(F100="","",E100*TAN(RADIANS(45-('PROPIEDADES DE LOS SUELOS'!$C$26/2))))</f>
        <v/>
      </c>
      <c r="H100" s="39" t="str">
        <f>IF(F100="","",IF(F100="Geomalla",(1.5*L100)/(DISEÑO!$C$20*TAN(RADIANS('PROPIEDADES DE LOS SUELOS'!$C$26))*DISEÑO!$C$21*'PROPIEDADES DE LOS SUELOS'!$C$24*'DISEÑO ALTERNATIVO'!C100*DISEÑO!$C$25*0.8),(1.5*L100)/(DISEÑO!$C$20*TAN(RADIANS('PROPIEDADES DE LOS SUELOS'!$C$26))*DISEÑO!$C$21*'PROPIEDADES DE LOS SUELOS'!$C$24*'DISEÑO ALTERNATIVO'!C100*DISEÑO!$C$25*0.6)))</f>
        <v/>
      </c>
      <c r="I100" s="39" t="str">
        <f t="shared" si="16"/>
        <v/>
      </c>
      <c r="J100" s="39" t="str">
        <f t="shared" si="17"/>
        <v/>
      </c>
      <c r="K100" s="39" t="str">
        <f>IF(J100="","",'GEOMETRIA DEL MURO'!$F$12)</f>
        <v/>
      </c>
      <c r="L100" s="39" t="str">
        <f>IF(F100="","",(('MC ANALISIS INTERNO'!$D$56*(($E$29*C100)+'CARGAS DISTRIBUIDAS'!$B$13+'CARGAS CONCENTRADAS'!$D$59))+'CARGAS CONCENTRADAS'!$D$34)*D100)</f>
        <v/>
      </c>
      <c r="M100" s="39" t="str">
        <f>IF(H100="","",'DISEÑO POR SISMO'!$D$34*('DISEÑO ALTERNATIVO'!I100/SUM($I$52:I158)))</f>
        <v/>
      </c>
      <c r="N100" s="39" t="str">
        <f t="shared" si="18"/>
        <v/>
      </c>
      <c r="O100" s="192"/>
    </row>
    <row r="101" spans="1:16" x14ac:dyDescent="0.25">
      <c r="A101" s="40" t="str">
        <f t="shared" si="13"/>
        <v/>
      </c>
      <c r="B101" s="39"/>
      <c r="C101" s="39" t="str">
        <f>IF(B101="","",IF(SUM($B$52:B101)&gt;$C$18,"",C100+B101))</f>
        <v/>
      </c>
      <c r="D101" s="39" t="str">
        <f t="shared" si="14"/>
        <v/>
      </c>
      <c r="E101" s="39" t="str">
        <f t="shared" si="15"/>
        <v/>
      </c>
      <c r="F101" s="40"/>
      <c r="G101" s="39" t="str">
        <f>IF(F101="","",E101*TAN(RADIANS(45-('PROPIEDADES DE LOS SUELOS'!$C$26/2))))</f>
        <v/>
      </c>
      <c r="H101" s="39" t="str">
        <f>IF(F101="","",IF(F101="Geomalla",(1.5*L101)/(DISEÑO!$C$20*TAN(RADIANS('PROPIEDADES DE LOS SUELOS'!$C$26))*DISEÑO!$C$21*'PROPIEDADES DE LOS SUELOS'!$C$24*'DISEÑO ALTERNATIVO'!C101*DISEÑO!$C$25*0.8),(1.5*L101)/(DISEÑO!$C$20*TAN(RADIANS('PROPIEDADES DE LOS SUELOS'!$C$26))*DISEÑO!$C$21*'PROPIEDADES DE LOS SUELOS'!$C$24*'DISEÑO ALTERNATIVO'!C101*DISEÑO!$C$25*0.6)))</f>
        <v/>
      </c>
      <c r="I101" s="39" t="str">
        <f t="shared" si="16"/>
        <v/>
      </c>
      <c r="J101" s="39" t="str">
        <f t="shared" si="17"/>
        <v/>
      </c>
      <c r="K101" s="39" t="str">
        <f>IF(J101="","",'GEOMETRIA DEL MURO'!$F$12)</f>
        <v/>
      </c>
      <c r="L101" s="39" t="str">
        <f>IF(F101="","",(('MC ANALISIS INTERNO'!$D$56*(($E$29*C101)+'CARGAS DISTRIBUIDAS'!$B$13+'CARGAS CONCENTRADAS'!$D$59))+'CARGAS CONCENTRADAS'!$D$34)*D101)</f>
        <v/>
      </c>
      <c r="M101" s="39" t="str">
        <f>IF(H101="","",'DISEÑO POR SISMO'!$D$34*('DISEÑO ALTERNATIVO'!I101/SUM($I$52:I159)))</f>
        <v/>
      </c>
      <c r="N101" s="39" t="str">
        <f t="shared" si="18"/>
        <v/>
      </c>
      <c r="O101" s="192"/>
    </row>
    <row r="102" spans="1:16" x14ac:dyDescent="0.25">
      <c r="A102" s="40" t="str">
        <f t="shared" si="13"/>
        <v/>
      </c>
      <c r="B102" s="39"/>
      <c r="C102" s="39" t="str">
        <f>IF(B102="","",IF(SUM($B$52:B102)&gt;$C$18,"",C101+B102))</f>
        <v/>
      </c>
      <c r="D102" s="39" t="str">
        <f t="shared" si="14"/>
        <v/>
      </c>
      <c r="E102" s="39" t="str">
        <f t="shared" si="15"/>
        <v/>
      </c>
      <c r="F102" s="40"/>
      <c r="G102" s="39" t="str">
        <f>IF(F102="","",E102*TAN(RADIANS(45-('PROPIEDADES DE LOS SUELOS'!$C$26/2))))</f>
        <v/>
      </c>
      <c r="H102" s="39" t="str">
        <f>IF(F102="","",IF(F102="Geomalla",(1.5*L102)/(DISEÑO!$C$20*TAN(RADIANS('PROPIEDADES DE LOS SUELOS'!$C$26))*DISEÑO!$C$21*'PROPIEDADES DE LOS SUELOS'!$C$24*'DISEÑO ALTERNATIVO'!C102*DISEÑO!$C$25*0.8),(1.5*L102)/(DISEÑO!$C$20*TAN(RADIANS('PROPIEDADES DE LOS SUELOS'!$C$26))*DISEÑO!$C$21*'PROPIEDADES DE LOS SUELOS'!$C$24*'DISEÑO ALTERNATIVO'!C102*DISEÑO!$C$25*0.6)))</f>
        <v/>
      </c>
      <c r="I102" s="39" t="str">
        <f t="shared" si="16"/>
        <v/>
      </c>
      <c r="J102" s="39" t="str">
        <f t="shared" si="17"/>
        <v/>
      </c>
      <c r="K102" s="39" t="str">
        <f>IF(J102="","",'GEOMETRIA DEL MURO'!$F$12)</f>
        <v/>
      </c>
      <c r="L102" s="39" t="str">
        <f>IF(F102="","",(('MC ANALISIS INTERNO'!$D$56*(($E$29*C102)+'CARGAS DISTRIBUIDAS'!$B$13+'CARGAS CONCENTRADAS'!$D$59))+'CARGAS CONCENTRADAS'!$D$34)*D102)</f>
        <v/>
      </c>
      <c r="M102" s="39" t="str">
        <f>IF(H102="","",'DISEÑO POR SISMO'!$D$34*('DISEÑO ALTERNATIVO'!I102/SUM($I$52:I160)))</f>
        <v/>
      </c>
      <c r="N102" s="39" t="str">
        <f t="shared" si="18"/>
        <v/>
      </c>
      <c r="O102" s="192"/>
    </row>
    <row r="103" spans="1:16" x14ac:dyDescent="0.25">
      <c r="A103" s="40" t="str">
        <f t="shared" si="13"/>
        <v/>
      </c>
      <c r="B103" s="39"/>
      <c r="C103" s="39" t="str">
        <f>IF(B103="","",IF(SUM($B$52:B103)&gt;$C$18,"",C102+B103))</f>
        <v/>
      </c>
      <c r="D103" s="39" t="str">
        <f t="shared" si="14"/>
        <v/>
      </c>
      <c r="E103" s="39" t="str">
        <f t="shared" si="15"/>
        <v/>
      </c>
      <c r="F103" s="40"/>
      <c r="G103" s="39" t="str">
        <f>IF(F103="","",E103*TAN(RADIANS(45-('PROPIEDADES DE LOS SUELOS'!$C$26/2))))</f>
        <v/>
      </c>
      <c r="H103" s="39" t="str">
        <f>IF(F103="","",IF(F103="Geomalla",(1.5*L103)/(DISEÑO!$C$20*TAN(RADIANS('PROPIEDADES DE LOS SUELOS'!$C$26))*DISEÑO!$C$21*'PROPIEDADES DE LOS SUELOS'!$C$24*'DISEÑO ALTERNATIVO'!C103*DISEÑO!$C$25*0.8),(1.5*L103)/(DISEÑO!$C$20*TAN(RADIANS('PROPIEDADES DE LOS SUELOS'!$C$26))*DISEÑO!$C$21*'PROPIEDADES DE LOS SUELOS'!$C$24*'DISEÑO ALTERNATIVO'!C103*DISEÑO!$C$25*0.6)))</f>
        <v/>
      </c>
      <c r="I103" s="39" t="str">
        <f t="shared" si="16"/>
        <v/>
      </c>
      <c r="J103" s="39" t="str">
        <f t="shared" si="17"/>
        <v/>
      </c>
      <c r="K103" s="39" t="str">
        <f>IF(J103="","",'GEOMETRIA DEL MURO'!$F$12)</f>
        <v/>
      </c>
      <c r="L103" s="39" t="str">
        <f>IF(F103="","",(('MC ANALISIS INTERNO'!$D$56*(($E$29*C103)+'CARGAS DISTRIBUIDAS'!$B$13+'CARGAS CONCENTRADAS'!$D$59))+'CARGAS CONCENTRADAS'!$D$34)*D103)</f>
        <v/>
      </c>
      <c r="M103" s="39" t="str">
        <f>IF(H103="","",'DISEÑO POR SISMO'!$D$34*('DISEÑO ALTERNATIVO'!I103/SUM($I$52:I161)))</f>
        <v/>
      </c>
      <c r="N103" s="39" t="str">
        <f t="shared" si="18"/>
        <v/>
      </c>
      <c r="O103" s="192"/>
    </row>
    <row r="104" spans="1:16" x14ac:dyDescent="0.25">
      <c r="A104" s="40" t="str">
        <f t="shared" si="13"/>
        <v/>
      </c>
      <c r="B104" s="39"/>
      <c r="C104" s="39" t="str">
        <f>IF(B104="","",IF(SUM($B$52:B104)&gt;$C$18,"",C103+B104))</f>
        <v/>
      </c>
      <c r="D104" s="39" t="str">
        <f t="shared" si="14"/>
        <v/>
      </c>
      <c r="E104" s="39" t="str">
        <f t="shared" si="15"/>
        <v/>
      </c>
      <c r="F104" s="40"/>
      <c r="G104" s="39" t="str">
        <f>IF(F104="","",E104*TAN(RADIANS(45-('PROPIEDADES DE LOS SUELOS'!$C$26/2))))</f>
        <v/>
      </c>
      <c r="H104" s="39" t="str">
        <f>IF(F104="","",IF(F104="Geomalla",(1.5*L104)/(DISEÑO!$C$20*TAN(RADIANS('PROPIEDADES DE LOS SUELOS'!$C$26))*DISEÑO!$C$21*'PROPIEDADES DE LOS SUELOS'!$C$24*'DISEÑO ALTERNATIVO'!C104*DISEÑO!$C$25*0.8),(1.5*L104)/(DISEÑO!$C$20*TAN(RADIANS('PROPIEDADES DE LOS SUELOS'!$C$26))*DISEÑO!$C$21*'PROPIEDADES DE LOS SUELOS'!$C$24*'DISEÑO ALTERNATIVO'!C104*DISEÑO!$C$25*0.6)))</f>
        <v/>
      </c>
      <c r="I104" s="39" t="str">
        <f t="shared" si="16"/>
        <v/>
      </c>
      <c r="J104" s="39" t="str">
        <f t="shared" si="17"/>
        <v/>
      </c>
      <c r="K104" s="39" t="str">
        <f>IF(J104="","",'GEOMETRIA DEL MURO'!$F$12)</f>
        <v/>
      </c>
      <c r="L104" s="39" t="str">
        <f>IF(F104="","",(('MC ANALISIS INTERNO'!$D$56*(($E$29*C104)+'CARGAS DISTRIBUIDAS'!$B$13+'CARGAS CONCENTRADAS'!$D$59))+'CARGAS CONCENTRADAS'!$D$34)*D104)</f>
        <v/>
      </c>
      <c r="M104" s="39" t="str">
        <f>IF(H104="","",'DISEÑO POR SISMO'!$D$34*('DISEÑO ALTERNATIVO'!I104/SUM($I$52:I162)))</f>
        <v/>
      </c>
      <c r="N104" s="39" t="str">
        <f t="shared" si="18"/>
        <v/>
      </c>
      <c r="O104" s="192"/>
    </row>
    <row r="105" spans="1:16" x14ac:dyDescent="0.25">
      <c r="A105" s="40" t="str">
        <f t="shared" si="13"/>
        <v/>
      </c>
      <c r="B105" s="39"/>
      <c r="C105" s="39" t="str">
        <f>IF(B105="","",IF(SUM($B$52:B105)&gt;$C$18,"",C104+B105))</f>
        <v/>
      </c>
      <c r="D105" s="39" t="str">
        <f t="shared" si="14"/>
        <v/>
      </c>
      <c r="E105" s="39" t="str">
        <f t="shared" si="15"/>
        <v/>
      </c>
      <c r="F105" s="40"/>
      <c r="G105" s="39" t="str">
        <f>IF(F105="","",E105*TAN(RADIANS(45-('PROPIEDADES DE LOS SUELOS'!$C$26/2))))</f>
        <v/>
      </c>
      <c r="H105" s="39" t="str">
        <f>IF(F105="","",IF(F105="Geomalla",(1.5*L105)/(DISEÑO!$C$20*TAN(RADIANS('PROPIEDADES DE LOS SUELOS'!$C$26))*DISEÑO!$C$21*'PROPIEDADES DE LOS SUELOS'!$C$24*'DISEÑO ALTERNATIVO'!C105*DISEÑO!$C$25*0.8),(1.5*L105)/(DISEÑO!$C$20*TAN(RADIANS('PROPIEDADES DE LOS SUELOS'!$C$26))*DISEÑO!$C$21*'PROPIEDADES DE LOS SUELOS'!$C$24*'DISEÑO ALTERNATIVO'!C105*DISEÑO!$C$25*0.6)))</f>
        <v/>
      </c>
      <c r="I105" s="39" t="str">
        <f t="shared" si="16"/>
        <v/>
      </c>
      <c r="J105" s="39" t="str">
        <f t="shared" si="17"/>
        <v/>
      </c>
      <c r="K105" s="39" t="str">
        <f>IF(J105="","",'GEOMETRIA DEL MURO'!$F$12)</f>
        <v/>
      </c>
      <c r="L105" s="39" t="str">
        <f>IF(F105="","",(('MC ANALISIS INTERNO'!$D$56*(($E$29*C105)+'CARGAS DISTRIBUIDAS'!$B$13+'CARGAS CONCENTRADAS'!$D$59))+'CARGAS CONCENTRADAS'!$D$34)*D105)</f>
        <v/>
      </c>
      <c r="M105" s="39" t="str">
        <f>IF(H105="","",'DISEÑO POR SISMO'!$D$34*('DISEÑO ALTERNATIVO'!I105/SUM($I$52:I163)))</f>
        <v/>
      </c>
      <c r="N105" s="39" t="str">
        <f t="shared" si="18"/>
        <v/>
      </c>
      <c r="O105" s="192"/>
    </row>
    <row r="106" spans="1:16" x14ac:dyDescent="0.25">
      <c r="A106" s="40" t="str">
        <f t="shared" si="13"/>
        <v/>
      </c>
      <c r="B106" s="39"/>
      <c r="C106" s="39" t="str">
        <f>IF(B106="","",IF(SUM($B$52:B106)&gt;$C$18,"",C105+B106))</f>
        <v/>
      </c>
      <c r="D106" s="39" t="str">
        <f t="shared" si="14"/>
        <v/>
      </c>
      <c r="E106" s="39" t="str">
        <f t="shared" si="15"/>
        <v/>
      </c>
      <c r="F106" s="40"/>
      <c r="G106" s="39" t="str">
        <f>IF(F106="","",E106*TAN(RADIANS(45-('PROPIEDADES DE LOS SUELOS'!$C$26/2))))</f>
        <v/>
      </c>
      <c r="H106" s="39" t="str">
        <f>IF(F106="","",IF(F106="Geomalla",(1.5*L106)/(DISEÑO!$C$20*TAN(RADIANS('PROPIEDADES DE LOS SUELOS'!$C$26))*DISEÑO!$C$21*'PROPIEDADES DE LOS SUELOS'!$C$24*'DISEÑO ALTERNATIVO'!C106*DISEÑO!$C$25*0.8),(1.5*L106)/(DISEÑO!$C$20*TAN(RADIANS('PROPIEDADES DE LOS SUELOS'!$C$26))*DISEÑO!$C$21*'PROPIEDADES DE LOS SUELOS'!$C$24*'DISEÑO ALTERNATIVO'!C106*DISEÑO!$C$25*0.6)))</f>
        <v/>
      </c>
      <c r="I106" s="39" t="str">
        <f t="shared" si="16"/>
        <v/>
      </c>
      <c r="J106" s="39" t="str">
        <f t="shared" si="17"/>
        <v/>
      </c>
      <c r="K106" s="39" t="str">
        <f>IF(J106="","",'GEOMETRIA DEL MURO'!$F$12)</f>
        <v/>
      </c>
      <c r="L106" s="39" t="str">
        <f>IF(F106="","",(('MC ANALISIS INTERNO'!$D$56*(($E$29*C106)+'CARGAS DISTRIBUIDAS'!$B$13+'CARGAS CONCENTRADAS'!$D$59))+'CARGAS CONCENTRADAS'!$D$34)*D106)</f>
        <v/>
      </c>
      <c r="M106" s="39" t="str">
        <f>IF(H106="","",'DISEÑO POR SISMO'!$D$34*('DISEÑO ALTERNATIVO'!I106/SUM($I$52:I164)))</f>
        <v/>
      </c>
      <c r="N106" s="39" t="str">
        <f t="shared" si="18"/>
        <v/>
      </c>
      <c r="O106" s="192"/>
    </row>
    <row r="107" spans="1:16" x14ac:dyDescent="0.25">
      <c r="A107" s="40" t="str">
        <f t="shared" si="13"/>
        <v/>
      </c>
      <c r="B107" s="39"/>
      <c r="C107" s="39" t="str">
        <f>IF(B107="","",IF(SUM($B$52:B107)&gt;$C$18,"",C106+B107))</f>
        <v/>
      </c>
      <c r="D107" s="39" t="str">
        <f t="shared" si="14"/>
        <v/>
      </c>
      <c r="E107" s="39" t="str">
        <f t="shared" si="15"/>
        <v/>
      </c>
      <c r="F107" s="40"/>
      <c r="G107" s="39" t="str">
        <f>IF(F107="","",E107*TAN(RADIANS(45-('PROPIEDADES DE LOS SUELOS'!$C$26/2))))</f>
        <v/>
      </c>
      <c r="H107" s="39" t="str">
        <f>IF(F107="","",IF(F107="Geomalla",(1.5*L107)/(DISEÑO!$C$20*TAN(RADIANS('PROPIEDADES DE LOS SUELOS'!$C$26))*DISEÑO!$C$21*'PROPIEDADES DE LOS SUELOS'!$C$24*'DISEÑO ALTERNATIVO'!C107*DISEÑO!$C$25*0.8),(1.5*L107)/(DISEÑO!$C$20*TAN(RADIANS('PROPIEDADES DE LOS SUELOS'!$C$26))*DISEÑO!$C$21*'PROPIEDADES DE LOS SUELOS'!$C$24*'DISEÑO ALTERNATIVO'!C107*DISEÑO!$C$25*0.6)))</f>
        <v/>
      </c>
      <c r="I107" s="39" t="str">
        <f t="shared" si="16"/>
        <v/>
      </c>
      <c r="J107" s="39" t="str">
        <f t="shared" si="17"/>
        <v/>
      </c>
      <c r="K107" s="39" t="str">
        <f>IF(J107="","",'GEOMETRIA DEL MURO'!$F$12)</f>
        <v/>
      </c>
      <c r="L107" s="39" t="str">
        <f>IF(F107="","",(('MC ANALISIS INTERNO'!$D$56*(($E$29*C107)+'CARGAS DISTRIBUIDAS'!$B$13+'CARGAS CONCENTRADAS'!$D$59))+'CARGAS CONCENTRADAS'!$D$34)*D107)</f>
        <v/>
      </c>
      <c r="M107" s="39" t="str">
        <f>IF(H107="","",'DISEÑO POR SISMO'!$D$34*('DISEÑO ALTERNATIVO'!I107/SUM($I$52:I165)))</f>
        <v/>
      </c>
      <c r="N107" s="39" t="str">
        <f t="shared" si="18"/>
        <v/>
      </c>
      <c r="O107" s="192"/>
    </row>
    <row r="108" spans="1:16" x14ac:dyDescent="0.25">
      <c r="A108" s="40" t="str">
        <f t="shared" si="13"/>
        <v/>
      </c>
      <c r="B108" s="39"/>
      <c r="C108" s="39" t="str">
        <f>IF(B108="","",IF(SUM($B$52:B108)&gt;$C$18,"",C107+B108))</f>
        <v/>
      </c>
      <c r="D108" s="39" t="str">
        <f t="shared" si="14"/>
        <v/>
      </c>
      <c r="E108" s="39" t="str">
        <f t="shared" si="15"/>
        <v/>
      </c>
      <c r="F108" s="40"/>
      <c r="G108" s="39" t="str">
        <f>IF(F108="","",E108*TAN(RADIANS(45-('PROPIEDADES DE LOS SUELOS'!$C$26/2))))</f>
        <v/>
      </c>
      <c r="H108" s="39" t="str">
        <f>IF(F108="","",IF(F108="Geomalla",(1.5*L108)/(DISEÑO!$C$20*TAN(RADIANS('PROPIEDADES DE LOS SUELOS'!$C$26))*DISEÑO!$C$21*'PROPIEDADES DE LOS SUELOS'!$C$24*'DISEÑO ALTERNATIVO'!C108*DISEÑO!$C$25*0.8),(1.5*L108)/(DISEÑO!$C$20*TAN(RADIANS('PROPIEDADES DE LOS SUELOS'!$C$26))*DISEÑO!$C$21*'PROPIEDADES DE LOS SUELOS'!$C$24*'DISEÑO ALTERNATIVO'!C108*DISEÑO!$C$25*0.6)))</f>
        <v/>
      </c>
      <c r="I108" s="39" t="str">
        <f t="shared" si="16"/>
        <v/>
      </c>
      <c r="J108" s="39" t="str">
        <f t="shared" si="17"/>
        <v/>
      </c>
      <c r="K108" s="39" t="str">
        <f>IF(J108="","",'GEOMETRIA DEL MURO'!$F$12)</f>
        <v/>
      </c>
      <c r="L108" s="39" t="str">
        <f>IF(F108="","",(('MC ANALISIS INTERNO'!$D$56*(($E$29*C108)+'CARGAS DISTRIBUIDAS'!$B$13+'CARGAS CONCENTRADAS'!$D$59))+'CARGAS CONCENTRADAS'!$D$34)*D108)</f>
        <v/>
      </c>
      <c r="M108" s="39" t="str">
        <f>IF(H108="","",'DISEÑO POR SISMO'!$D$34*('DISEÑO ALTERNATIVO'!I108/SUM($I$52:I166)))</f>
        <v/>
      </c>
      <c r="N108" s="39" t="str">
        <f t="shared" si="18"/>
        <v/>
      </c>
      <c r="O108" s="192"/>
    </row>
    <row r="109" spans="1:16" x14ac:dyDescent="0.25">
      <c r="A109" s="40" t="str">
        <f t="shared" si="13"/>
        <v/>
      </c>
      <c r="B109" s="39"/>
      <c r="C109" s="39" t="str">
        <f>IF(B109="","",IF(SUM($B$52:B109)&gt;$C$18,"",C108+B109))</f>
        <v/>
      </c>
      <c r="D109" s="39" t="str">
        <f t="shared" si="14"/>
        <v/>
      </c>
      <c r="E109" s="39" t="str">
        <f t="shared" si="15"/>
        <v/>
      </c>
      <c r="F109" s="40"/>
      <c r="G109" s="39" t="str">
        <f>IF(F109="","",E109*TAN(RADIANS(45-('PROPIEDADES DE LOS SUELOS'!$C$26/2))))</f>
        <v/>
      </c>
      <c r="H109" s="39" t="str">
        <f>IF(F109="","",IF(F109="Geomalla",(1.5*L109)/(DISEÑO!$C$20*TAN(RADIANS('PROPIEDADES DE LOS SUELOS'!$C$26))*DISEÑO!$C$21*'PROPIEDADES DE LOS SUELOS'!$C$24*'DISEÑO ALTERNATIVO'!C109*DISEÑO!$C$25*0.8),(1.5*L109)/(DISEÑO!$C$20*TAN(RADIANS('PROPIEDADES DE LOS SUELOS'!$C$26))*DISEÑO!$C$21*'PROPIEDADES DE LOS SUELOS'!$C$24*'DISEÑO ALTERNATIVO'!C109*DISEÑO!$C$25*0.6)))</f>
        <v/>
      </c>
      <c r="I109" s="39" t="str">
        <f t="shared" si="16"/>
        <v/>
      </c>
      <c r="J109" s="39" t="str">
        <f t="shared" si="17"/>
        <v/>
      </c>
      <c r="K109" s="39" t="str">
        <f>IF(J109="","",'GEOMETRIA DEL MURO'!$F$12)</f>
        <v/>
      </c>
      <c r="L109" s="39" t="str">
        <f>IF(F109="","",(('MC ANALISIS INTERNO'!$D$56*(($E$29*C109)+'CARGAS DISTRIBUIDAS'!$B$13+'CARGAS CONCENTRADAS'!$D$59))+'CARGAS CONCENTRADAS'!$D$34)*D109)</f>
        <v/>
      </c>
      <c r="M109" s="39" t="str">
        <f>IF(H109="","",'DISEÑO POR SISMO'!$D$34*('DISEÑO ALTERNATIVO'!I109/SUM($I$52:I167)))</f>
        <v/>
      </c>
      <c r="N109" s="39" t="str">
        <f t="shared" si="18"/>
        <v/>
      </c>
      <c r="O109" s="192"/>
    </row>
    <row r="110" spans="1:16" x14ac:dyDescent="0.25">
      <c r="A110" s="40" t="str">
        <f t="shared" si="13"/>
        <v/>
      </c>
      <c r="B110" s="39"/>
      <c r="C110" s="39" t="str">
        <f>IF(B110="","",IF(SUM($B$52:B110)&gt;$C$18,"",C109+B110))</f>
        <v/>
      </c>
      <c r="D110" s="39" t="str">
        <f t="shared" si="14"/>
        <v/>
      </c>
      <c r="E110" s="39" t="str">
        <f t="shared" si="15"/>
        <v/>
      </c>
      <c r="F110" s="40"/>
      <c r="G110" s="39" t="str">
        <f>IF(F110="","",E110*TAN(RADIANS(45-('PROPIEDADES DE LOS SUELOS'!$C$26/2))))</f>
        <v/>
      </c>
      <c r="H110" s="39" t="str">
        <f>IF(F110="","",IF(F110="Geomalla",(1.5*L110)/(DISEÑO!$C$20*TAN(RADIANS('PROPIEDADES DE LOS SUELOS'!$C$26))*DISEÑO!$C$21*'PROPIEDADES DE LOS SUELOS'!$C$24*'DISEÑO ALTERNATIVO'!C110*DISEÑO!$C$25*0.8),(1.5*L110)/(DISEÑO!$C$20*TAN(RADIANS('PROPIEDADES DE LOS SUELOS'!$C$26))*DISEÑO!$C$21*'PROPIEDADES DE LOS SUELOS'!$C$24*'DISEÑO ALTERNATIVO'!C110*DISEÑO!$C$25*0.6)))</f>
        <v/>
      </c>
      <c r="I110" s="39" t="str">
        <f t="shared" si="16"/>
        <v/>
      </c>
      <c r="J110" s="39" t="str">
        <f t="shared" si="17"/>
        <v/>
      </c>
      <c r="K110" s="39" t="str">
        <f>IF(J110="","",'GEOMETRIA DEL MURO'!$F$12)</f>
        <v/>
      </c>
      <c r="L110" s="39" t="str">
        <f>IF(F110="","",(('MC ANALISIS INTERNO'!$D$56*(($E$29*C110)+'CARGAS DISTRIBUIDAS'!$B$13+'CARGAS CONCENTRADAS'!$D$59))+'CARGAS CONCENTRADAS'!$D$34)*D110)</f>
        <v/>
      </c>
      <c r="M110" s="39" t="str">
        <f>IF(H110="","",'DISEÑO POR SISMO'!$D$34*('DISEÑO ALTERNATIVO'!I110/SUM($I$52:I168)))</f>
        <v/>
      </c>
      <c r="N110" s="39" t="str">
        <f t="shared" si="18"/>
        <v/>
      </c>
      <c r="O110" s="192"/>
    </row>
    <row r="111" spans="1:16" x14ac:dyDescent="0.25">
      <c r="A111" s="40" t="str">
        <f t="shared" si="13"/>
        <v/>
      </c>
      <c r="B111" s="39"/>
      <c r="C111" s="39" t="str">
        <f>IF(B111="","",IF(SUM($B$52:B111)&gt;$C$18,"",C110+B111))</f>
        <v/>
      </c>
      <c r="D111" s="39" t="str">
        <f t="shared" si="14"/>
        <v/>
      </c>
      <c r="E111" s="39" t="str">
        <f t="shared" si="15"/>
        <v/>
      </c>
      <c r="F111" s="40"/>
      <c r="G111" s="39" t="str">
        <f>IF(F111="","",E111*TAN(RADIANS(45-('PROPIEDADES DE LOS SUELOS'!$C$26/2))))</f>
        <v/>
      </c>
      <c r="H111" s="39" t="str">
        <f>IF(F111="","",IF(F111="Geomalla",(1.5*L111)/(DISEÑO!$C$20*TAN(RADIANS('PROPIEDADES DE LOS SUELOS'!$C$26))*DISEÑO!$C$21*'PROPIEDADES DE LOS SUELOS'!$C$24*'DISEÑO ALTERNATIVO'!C111*DISEÑO!$C$25*0.8),(1.5*L111)/(DISEÑO!$C$20*TAN(RADIANS('PROPIEDADES DE LOS SUELOS'!$C$26))*DISEÑO!$C$21*'PROPIEDADES DE LOS SUELOS'!$C$24*'DISEÑO ALTERNATIVO'!C111*DISEÑO!$C$25*0.6)))</f>
        <v/>
      </c>
      <c r="I111" s="39" t="str">
        <f t="shared" si="16"/>
        <v/>
      </c>
      <c r="J111" s="39" t="str">
        <f t="shared" si="17"/>
        <v/>
      </c>
      <c r="K111" s="39" t="str">
        <f>IF(J111="","",'GEOMETRIA DEL MURO'!$F$12)</f>
        <v/>
      </c>
      <c r="L111" s="39" t="str">
        <f>IF(F111="","",(('MC ANALISIS INTERNO'!$D$56*(($E$29*C111)+'CARGAS DISTRIBUIDAS'!$B$13+'CARGAS CONCENTRADAS'!$D$59))+'CARGAS CONCENTRADAS'!$D$34)*D111)</f>
        <v/>
      </c>
      <c r="M111" s="39" t="str">
        <f>IF(H111="","",'DISEÑO POR SISMO'!$D$34*('DISEÑO ALTERNATIVO'!I111/SUM($I$52:I169)))</f>
        <v/>
      </c>
      <c r="N111" s="39" t="str">
        <f t="shared" si="18"/>
        <v/>
      </c>
      <c r="O111" s="192"/>
    </row>
    <row r="112" spans="1:16" x14ac:dyDescent="0.25">
      <c r="A112" s="40" t="str">
        <f t="shared" si="13"/>
        <v/>
      </c>
      <c r="B112" s="39"/>
      <c r="C112" s="39" t="str">
        <f>IF(B112="","",IF(SUM($B$52:B112)&gt;$C$18,"",C111+B112))</f>
        <v/>
      </c>
      <c r="D112" s="39" t="str">
        <f t="shared" si="14"/>
        <v/>
      </c>
      <c r="E112" s="39" t="str">
        <f t="shared" si="15"/>
        <v/>
      </c>
      <c r="F112" s="40"/>
      <c r="G112" s="39" t="str">
        <f>IF(F112="","",E112*TAN(RADIANS(45-('PROPIEDADES DE LOS SUELOS'!$C$26/2))))</f>
        <v/>
      </c>
      <c r="H112" s="39" t="str">
        <f>IF(F112="","",IF(F112="Geomalla",(1.5*L112)/(DISEÑO!$C$20*TAN(RADIANS('PROPIEDADES DE LOS SUELOS'!$C$26))*DISEÑO!$C$21*'PROPIEDADES DE LOS SUELOS'!$C$24*'DISEÑO ALTERNATIVO'!C112*DISEÑO!$C$25*0.8),(1.5*L112)/(DISEÑO!$C$20*TAN(RADIANS('PROPIEDADES DE LOS SUELOS'!$C$26))*DISEÑO!$C$21*'PROPIEDADES DE LOS SUELOS'!$C$24*'DISEÑO ALTERNATIVO'!C112*DISEÑO!$C$25*0.6)))</f>
        <v/>
      </c>
      <c r="I112" s="39" t="str">
        <f t="shared" si="16"/>
        <v/>
      </c>
      <c r="J112" s="39" t="str">
        <f t="shared" si="17"/>
        <v/>
      </c>
      <c r="K112" s="39" t="str">
        <f>IF(J112="","",'GEOMETRIA DEL MURO'!$F$12)</f>
        <v/>
      </c>
      <c r="L112" s="39" t="str">
        <f>IF(F112="","",(('MC ANALISIS INTERNO'!$D$56*(($E$29*C112)+'CARGAS DISTRIBUIDAS'!$B$13+'CARGAS CONCENTRADAS'!$D$59))+'CARGAS CONCENTRADAS'!$D$34)*D112)</f>
        <v/>
      </c>
      <c r="M112" s="39" t="str">
        <f>IF(H112="","",'DISEÑO POR SISMO'!$D$34*('DISEÑO ALTERNATIVO'!I112/SUM($I$52:I170)))</f>
        <v/>
      </c>
      <c r="N112" s="39" t="str">
        <f t="shared" si="18"/>
        <v/>
      </c>
      <c r="O112" s="192"/>
    </row>
    <row r="113" spans="1:15" x14ac:dyDescent="0.25">
      <c r="A113" s="40" t="str">
        <f t="shared" si="13"/>
        <v/>
      </c>
      <c r="B113" s="39"/>
      <c r="C113" s="39" t="str">
        <f>IF(B113="","",IF(SUM($B$52:B113)&gt;$C$18,"",C112+B113))</f>
        <v/>
      </c>
      <c r="D113" s="39" t="str">
        <f t="shared" si="14"/>
        <v/>
      </c>
      <c r="E113" s="39" t="str">
        <f t="shared" si="15"/>
        <v/>
      </c>
      <c r="F113" s="40"/>
      <c r="G113" s="39" t="str">
        <f>IF(F113="","",E113*TAN(RADIANS(45-('PROPIEDADES DE LOS SUELOS'!$C$26/2))))</f>
        <v/>
      </c>
      <c r="H113" s="39" t="str">
        <f>IF(F113="","",IF(F113="Geomalla",(1.5*L113)/(DISEÑO!$C$20*TAN(RADIANS('PROPIEDADES DE LOS SUELOS'!$C$26))*DISEÑO!$C$21*'PROPIEDADES DE LOS SUELOS'!$C$24*'DISEÑO ALTERNATIVO'!C113*DISEÑO!$C$25*0.8),(1.5*L113)/(DISEÑO!$C$20*TAN(RADIANS('PROPIEDADES DE LOS SUELOS'!$C$26))*DISEÑO!$C$21*'PROPIEDADES DE LOS SUELOS'!$C$24*'DISEÑO ALTERNATIVO'!C113*DISEÑO!$C$25*0.6)))</f>
        <v/>
      </c>
      <c r="I113" s="39" t="str">
        <f t="shared" si="16"/>
        <v/>
      </c>
      <c r="J113" s="39" t="str">
        <f t="shared" si="17"/>
        <v/>
      </c>
      <c r="K113" s="39" t="str">
        <f>IF(J113="","",'GEOMETRIA DEL MURO'!$F$12)</f>
        <v/>
      </c>
      <c r="L113" s="39" t="str">
        <f>IF(F113="","",(('MC ANALISIS INTERNO'!$D$56*(($E$29*C113)+'CARGAS DISTRIBUIDAS'!$B$13+'CARGAS CONCENTRADAS'!$D$59))+'CARGAS CONCENTRADAS'!$D$34)*D113)</f>
        <v/>
      </c>
      <c r="M113" s="39" t="str">
        <f>IF(H113="","",'DISEÑO POR SISMO'!$D$34*('DISEÑO ALTERNATIVO'!I113/SUM($I$52:I171)))</f>
        <v/>
      </c>
      <c r="N113" s="39" t="str">
        <f t="shared" si="18"/>
        <v/>
      </c>
      <c r="O113" s="192"/>
    </row>
    <row r="114" spans="1:15" x14ac:dyDescent="0.25">
      <c r="A114" s="40" t="str">
        <f t="shared" si="13"/>
        <v/>
      </c>
      <c r="B114" s="39"/>
      <c r="C114" s="39" t="str">
        <f>IF(B114="","",IF(SUM($B$52:B114)&gt;$C$18,"",C113+B114))</f>
        <v/>
      </c>
      <c r="D114" s="39" t="str">
        <f t="shared" si="14"/>
        <v/>
      </c>
      <c r="E114" s="39" t="str">
        <f t="shared" si="15"/>
        <v/>
      </c>
      <c r="F114" s="40"/>
      <c r="G114" s="39" t="str">
        <f>IF(F114="","",E114*TAN(RADIANS(45-('PROPIEDADES DE LOS SUELOS'!$C$26/2))))</f>
        <v/>
      </c>
      <c r="H114" s="39" t="str">
        <f>IF(F114="","",IF(F114="Geomalla",(1.5*L114)/(DISEÑO!$C$20*TAN(RADIANS('PROPIEDADES DE LOS SUELOS'!$C$26))*DISEÑO!$C$21*'PROPIEDADES DE LOS SUELOS'!$C$24*'DISEÑO ALTERNATIVO'!C114*DISEÑO!$C$25*0.8),(1.5*L114)/(DISEÑO!$C$20*TAN(RADIANS('PROPIEDADES DE LOS SUELOS'!$C$26))*DISEÑO!$C$21*'PROPIEDADES DE LOS SUELOS'!$C$24*'DISEÑO ALTERNATIVO'!C114*DISEÑO!$C$25*0.6)))</f>
        <v/>
      </c>
      <c r="I114" s="39" t="str">
        <f t="shared" si="16"/>
        <v/>
      </c>
      <c r="J114" s="39" t="str">
        <f t="shared" si="17"/>
        <v/>
      </c>
      <c r="K114" s="39" t="str">
        <f>IF(J114="","",'GEOMETRIA DEL MURO'!$F$12)</f>
        <v/>
      </c>
      <c r="L114" s="39" t="str">
        <f>IF(F114="","",(('MC ANALISIS INTERNO'!$D$56*(($E$29*C114)+'CARGAS DISTRIBUIDAS'!$B$13+'CARGAS CONCENTRADAS'!$D$59))+'CARGAS CONCENTRADAS'!$D$34)*D114)</f>
        <v/>
      </c>
      <c r="M114" s="39" t="str">
        <f>IF(H114="","",'DISEÑO POR SISMO'!$D$34*('DISEÑO ALTERNATIVO'!I114/SUM($I$52:I172)))</f>
        <v/>
      </c>
      <c r="N114" s="39" t="str">
        <f t="shared" si="18"/>
        <v/>
      </c>
      <c r="O114" s="192"/>
    </row>
    <row r="115" spans="1:15" x14ac:dyDescent="0.25">
      <c r="A115" s="40" t="str">
        <f t="shared" si="13"/>
        <v/>
      </c>
      <c r="B115" s="39"/>
      <c r="C115" s="39" t="str">
        <f>IF(B115="","",IF(SUM($B$52:B115)&gt;$C$18,"",C114+B115))</f>
        <v/>
      </c>
      <c r="D115" s="39" t="str">
        <f t="shared" si="14"/>
        <v/>
      </c>
      <c r="E115" s="39" t="str">
        <f t="shared" si="15"/>
        <v/>
      </c>
      <c r="F115" s="40"/>
      <c r="G115" s="39" t="str">
        <f>IF(F115="","",E115*TAN(RADIANS(45-('PROPIEDADES DE LOS SUELOS'!$C$26/2))))</f>
        <v/>
      </c>
      <c r="H115" s="39" t="str">
        <f>IF(F115="","",IF(F115="Geomalla",(1.5*L115)/(DISEÑO!$C$20*TAN(RADIANS('PROPIEDADES DE LOS SUELOS'!$C$26))*DISEÑO!$C$21*'PROPIEDADES DE LOS SUELOS'!$C$24*'DISEÑO ALTERNATIVO'!C115*DISEÑO!$C$25*0.8),(1.5*L115)/(DISEÑO!$C$20*TAN(RADIANS('PROPIEDADES DE LOS SUELOS'!$C$26))*DISEÑO!$C$21*'PROPIEDADES DE LOS SUELOS'!$C$24*'DISEÑO ALTERNATIVO'!C115*DISEÑO!$C$25*0.6)))</f>
        <v/>
      </c>
      <c r="I115" s="39" t="str">
        <f t="shared" si="16"/>
        <v/>
      </c>
      <c r="J115" s="39" t="str">
        <f t="shared" si="17"/>
        <v/>
      </c>
      <c r="K115" s="39" t="str">
        <f>IF(J115="","",'GEOMETRIA DEL MURO'!$F$12)</f>
        <v/>
      </c>
      <c r="L115" s="39" t="str">
        <f>IF(F115="","",(('MC ANALISIS INTERNO'!$D$56*(($E$29*C115)+'CARGAS DISTRIBUIDAS'!$B$13+'CARGAS CONCENTRADAS'!$D$59))+'CARGAS CONCENTRADAS'!$D$34)*D115)</f>
        <v/>
      </c>
      <c r="M115" s="39" t="str">
        <f>IF(H115="","",'DISEÑO POR SISMO'!$D$34*('DISEÑO ALTERNATIVO'!I115/SUM($I$52:I173)))</f>
        <v/>
      </c>
      <c r="N115" s="39" t="str">
        <f t="shared" si="18"/>
        <v/>
      </c>
      <c r="O115" s="192"/>
    </row>
    <row r="116" spans="1:15" x14ac:dyDescent="0.25">
      <c r="A116" s="40" t="str">
        <f t="shared" si="13"/>
        <v/>
      </c>
      <c r="B116" s="39"/>
      <c r="C116" s="39" t="str">
        <f>IF(B116="","",IF(SUM($B$52:B116)&gt;$C$18,"",C115+B116))</f>
        <v/>
      </c>
      <c r="D116" s="39" t="str">
        <f t="shared" si="14"/>
        <v/>
      </c>
      <c r="E116" s="39" t="str">
        <f t="shared" si="15"/>
        <v/>
      </c>
      <c r="F116" s="40"/>
      <c r="G116" s="39" t="str">
        <f>IF(F116="","",E116*TAN(RADIANS(45-('PROPIEDADES DE LOS SUELOS'!$C$26/2))))</f>
        <v/>
      </c>
      <c r="H116" s="39" t="str">
        <f>IF(F116="","",IF(F116="Geomalla",(1.5*L116)/(DISEÑO!$C$20*TAN(RADIANS('PROPIEDADES DE LOS SUELOS'!$C$26))*DISEÑO!$C$21*'PROPIEDADES DE LOS SUELOS'!$C$24*'DISEÑO ALTERNATIVO'!C116*DISEÑO!$C$25*0.8),(1.5*L116)/(DISEÑO!$C$20*TAN(RADIANS('PROPIEDADES DE LOS SUELOS'!$C$26))*DISEÑO!$C$21*'PROPIEDADES DE LOS SUELOS'!$C$24*'DISEÑO ALTERNATIVO'!C116*DISEÑO!$C$25*0.6)))</f>
        <v/>
      </c>
      <c r="I116" s="39" t="str">
        <f t="shared" si="16"/>
        <v/>
      </c>
      <c r="J116" s="39" t="str">
        <f t="shared" si="17"/>
        <v/>
      </c>
      <c r="K116" s="39" t="str">
        <f>IF(J116="","",'GEOMETRIA DEL MURO'!$F$12)</f>
        <v/>
      </c>
      <c r="L116" s="39" t="str">
        <f>IF(F116="","",(('MC ANALISIS INTERNO'!$D$56*(($E$29*C116)+'CARGAS DISTRIBUIDAS'!$B$13+'CARGAS CONCENTRADAS'!$D$59))+'CARGAS CONCENTRADAS'!$D$34)*D116)</f>
        <v/>
      </c>
      <c r="M116" s="39" t="str">
        <f>IF(H116="","",'DISEÑO POR SISMO'!$D$34*('DISEÑO ALTERNATIVO'!I116/SUM($I$52:I174)))</f>
        <v/>
      </c>
      <c r="N116" s="39" t="str">
        <f t="shared" si="18"/>
        <v/>
      </c>
      <c r="O116" s="192"/>
    </row>
    <row r="117" spans="1:15" x14ac:dyDescent="0.25">
      <c r="A117" s="40" t="str">
        <f t="shared" si="13"/>
        <v/>
      </c>
      <c r="B117" s="39"/>
      <c r="C117" s="39" t="str">
        <f>IF(B117="","",IF(SUM($B$52:B117)&gt;$C$18,"",C116+B117))</f>
        <v/>
      </c>
      <c r="D117" s="39" t="str">
        <f t="shared" si="14"/>
        <v/>
      </c>
      <c r="E117" s="39" t="str">
        <f t="shared" si="15"/>
        <v/>
      </c>
      <c r="F117" s="40"/>
      <c r="G117" s="39" t="str">
        <f>IF(F117="","",E117*TAN(RADIANS(45-('PROPIEDADES DE LOS SUELOS'!$C$26/2))))</f>
        <v/>
      </c>
      <c r="H117" s="39" t="str">
        <f>IF(F117="","",IF(F117="Geomalla",(1.5*L117)/(DISEÑO!$C$20*TAN(RADIANS('PROPIEDADES DE LOS SUELOS'!$C$26))*DISEÑO!$C$21*'PROPIEDADES DE LOS SUELOS'!$C$24*'DISEÑO ALTERNATIVO'!C117*DISEÑO!$C$25*0.8),(1.5*L117)/(DISEÑO!$C$20*TAN(RADIANS('PROPIEDADES DE LOS SUELOS'!$C$26))*DISEÑO!$C$21*'PROPIEDADES DE LOS SUELOS'!$C$24*'DISEÑO ALTERNATIVO'!C117*DISEÑO!$C$25*0.6)))</f>
        <v/>
      </c>
      <c r="I117" s="39" t="str">
        <f t="shared" si="16"/>
        <v/>
      </c>
      <c r="J117" s="39" t="str">
        <f t="shared" si="17"/>
        <v/>
      </c>
      <c r="K117" s="39" t="str">
        <f>IF(J117="","",'GEOMETRIA DEL MURO'!$F$12)</f>
        <v/>
      </c>
      <c r="L117" s="39" t="str">
        <f>IF(F117="","",(('MC ANALISIS INTERNO'!$D$56*(($E$29*C117)+'CARGAS DISTRIBUIDAS'!$B$13+'CARGAS CONCENTRADAS'!$D$59))+'CARGAS CONCENTRADAS'!$D$34)*D117)</f>
        <v/>
      </c>
      <c r="M117" s="39" t="str">
        <f>IF(H117="","",'DISEÑO POR SISMO'!$D$34*('DISEÑO ALTERNATIVO'!I117/SUM($I$52:I175)))</f>
        <v/>
      </c>
      <c r="N117" s="39" t="str">
        <f t="shared" si="18"/>
        <v/>
      </c>
      <c r="O117" s="192"/>
    </row>
    <row r="118" spans="1:15" x14ac:dyDescent="0.25">
      <c r="A118" s="40" t="str">
        <f t="shared" si="13"/>
        <v/>
      </c>
      <c r="B118" s="39"/>
      <c r="C118" s="39" t="str">
        <f>IF(B118="","",IF(SUM($B$52:B118)&gt;$C$18,"",C117+B118))</f>
        <v/>
      </c>
      <c r="D118" s="39" t="str">
        <f t="shared" si="14"/>
        <v/>
      </c>
      <c r="E118" s="39" t="str">
        <f t="shared" si="15"/>
        <v/>
      </c>
      <c r="F118" s="40"/>
      <c r="G118" s="39" t="str">
        <f>IF(F118="","",E118*TAN(RADIANS(45-('PROPIEDADES DE LOS SUELOS'!$C$26/2))))</f>
        <v/>
      </c>
      <c r="H118" s="39" t="str">
        <f>IF(F118="","",IF(F118="Geomalla",(1.5*L118)/(DISEÑO!$C$20*TAN(RADIANS('PROPIEDADES DE LOS SUELOS'!$C$26))*DISEÑO!$C$21*'PROPIEDADES DE LOS SUELOS'!$C$24*'DISEÑO ALTERNATIVO'!C118*DISEÑO!$C$25*0.8),(1.5*L118)/(DISEÑO!$C$20*TAN(RADIANS('PROPIEDADES DE LOS SUELOS'!$C$26))*DISEÑO!$C$21*'PROPIEDADES DE LOS SUELOS'!$C$24*'DISEÑO ALTERNATIVO'!C118*DISEÑO!$C$25*0.6)))</f>
        <v/>
      </c>
      <c r="I118" s="39" t="str">
        <f t="shared" si="16"/>
        <v/>
      </c>
      <c r="J118" s="39" t="str">
        <f t="shared" si="17"/>
        <v/>
      </c>
      <c r="K118" s="39" t="str">
        <f>IF(J118="","",'GEOMETRIA DEL MURO'!$F$12)</f>
        <v/>
      </c>
      <c r="L118" s="39" t="str">
        <f>IF(F118="","",(('MC ANALISIS INTERNO'!$D$56*(($E$29*C118)+'CARGAS DISTRIBUIDAS'!$B$13+'CARGAS CONCENTRADAS'!$D$59))+'CARGAS CONCENTRADAS'!$D$34)*D118)</f>
        <v/>
      </c>
      <c r="M118" s="39" t="str">
        <f>IF(H118="","",'DISEÑO POR SISMO'!$D$34*('DISEÑO ALTERNATIVO'!I118/SUM($I$52:I176)))</f>
        <v/>
      </c>
      <c r="N118" s="39" t="str">
        <f t="shared" si="18"/>
        <v/>
      </c>
      <c r="O118" s="192"/>
    </row>
    <row r="119" spans="1:15" x14ac:dyDescent="0.25">
      <c r="A119" s="40" t="str">
        <f t="shared" si="13"/>
        <v/>
      </c>
      <c r="B119" s="39"/>
      <c r="C119" s="39" t="str">
        <f>IF(B119="","",IF(SUM($B$52:B119)&gt;$C$18,"",C118+B119))</f>
        <v/>
      </c>
      <c r="D119" s="39" t="str">
        <f t="shared" si="14"/>
        <v/>
      </c>
      <c r="E119" s="39" t="str">
        <f t="shared" si="15"/>
        <v/>
      </c>
      <c r="F119" s="40"/>
      <c r="G119" s="39" t="str">
        <f>IF(F119="","",E119*TAN(RADIANS(45-('PROPIEDADES DE LOS SUELOS'!$C$26/2))))</f>
        <v/>
      </c>
      <c r="H119" s="39" t="str">
        <f>IF(F119="","",IF(F119="Geomalla",(1.5*L119)/(DISEÑO!$C$20*TAN(RADIANS('PROPIEDADES DE LOS SUELOS'!$C$26))*DISEÑO!$C$21*'PROPIEDADES DE LOS SUELOS'!$C$24*'DISEÑO ALTERNATIVO'!C119*DISEÑO!$C$25*0.8),(1.5*L119)/(DISEÑO!$C$20*TAN(RADIANS('PROPIEDADES DE LOS SUELOS'!$C$26))*DISEÑO!$C$21*'PROPIEDADES DE LOS SUELOS'!$C$24*'DISEÑO ALTERNATIVO'!C119*DISEÑO!$C$25*0.6)))</f>
        <v/>
      </c>
      <c r="I119" s="39" t="str">
        <f t="shared" si="16"/>
        <v/>
      </c>
      <c r="J119" s="39" t="str">
        <f t="shared" si="17"/>
        <v/>
      </c>
      <c r="K119" s="39" t="str">
        <f>IF(J119="","",'GEOMETRIA DEL MURO'!$F$12)</f>
        <v/>
      </c>
      <c r="L119" s="39" t="str">
        <f>IF(F119="","",(('MC ANALISIS INTERNO'!$D$56*(($E$29*C119)+'CARGAS DISTRIBUIDAS'!$B$13+'CARGAS CONCENTRADAS'!$D$59))+'CARGAS CONCENTRADAS'!$D$34)*D119)</f>
        <v/>
      </c>
      <c r="M119" s="39" t="str">
        <f>IF(H119="","",'DISEÑO POR SISMO'!$D$34*('DISEÑO ALTERNATIVO'!I119/SUM($I$52:I177)))</f>
        <v/>
      </c>
      <c r="N119" s="39" t="str">
        <f t="shared" si="18"/>
        <v/>
      </c>
      <c r="O119" s="192"/>
    </row>
    <row r="120" spans="1:15" x14ac:dyDescent="0.25">
      <c r="A120" s="40" t="str">
        <f t="shared" si="13"/>
        <v/>
      </c>
      <c r="B120" s="39"/>
      <c r="C120" s="39" t="str">
        <f>IF(B120="","",IF(SUM($B$52:B120)&gt;$C$18,"",C119+B120))</f>
        <v/>
      </c>
      <c r="D120" s="39" t="str">
        <f t="shared" si="14"/>
        <v/>
      </c>
      <c r="E120" s="39" t="str">
        <f t="shared" si="15"/>
        <v/>
      </c>
      <c r="F120" s="40"/>
      <c r="G120" s="39" t="str">
        <f>IF(F120="","",E120*TAN(RADIANS(45-('PROPIEDADES DE LOS SUELOS'!$C$26/2))))</f>
        <v/>
      </c>
      <c r="H120" s="39" t="str">
        <f>IF(F120="","",IF(F120="Geomalla",(1.5*L120)/(DISEÑO!$C$20*TAN(RADIANS('PROPIEDADES DE LOS SUELOS'!$C$26))*DISEÑO!$C$21*'PROPIEDADES DE LOS SUELOS'!$C$24*'DISEÑO ALTERNATIVO'!C120*DISEÑO!$C$25*0.8),(1.5*L120)/(DISEÑO!$C$20*TAN(RADIANS('PROPIEDADES DE LOS SUELOS'!$C$26))*DISEÑO!$C$21*'PROPIEDADES DE LOS SUELOS'!$C$24*'DISEÑO ALTERNATIVO'!C120*DISEÑO!$C$25*0.6)))</f>
        <v/>
      </c>
      <c r="I120" s="39" t="str">
        <f t="shared" si="16"/>
        <v/>
      </c>
      <c r="J120" s="39" t="str">
        <f t="shared" si="17"/>
        <v/>
      </c>
      <c r="K120" s="39" t="str">
        <f>IF(J120="","",'GEOMETRIA DEL MURO'!$F$12)</f>
        <v/>
      </c>
      <c r="L120" s="39" t="str">
        <f>IF(F120="","",(('MC ANALISIS INTERNO'!$D$56*(($E$29*C120)+'CARGAS DISTRIBUIDAS'!$B$13+'CARGAS CONCENTRADAS'!$D$59))+'CARGAS CONCENTRADAS'!$D$34)*D120)</f>
        <v/>
      </c>
      <c r="M120" s="39" t="str">
        <f>IF(H120="","",'DISEÑO POR SISMO'!$D$34*('DISEÑO ALTERNATIVO'!I120/SUM($I$52:I178)))</f>
        <v/>
      </c>
      <c r="N120" s="39" t="str">
        <f t="shared" si="18"/>
        <v/>
      </c>
      <c r="O120" s="192"/>
    </row>
    <row r="121" spans="1:15" x14ac:dyDescent="0.25">
      <c r="A121" s="40" t="str">
        <f t="shared" si="13"/>
        <v/>
      </c>
      <c r="B121" s="39"/>
      <c r="C121" s="39" t="str">
        <f>IF(B121="","",IF(SUM($B$52:B121)&gt;$C$18,"",C120+B121))</f>
        <v/>
      </c>
      <c r="D121" s="39" t="str">
        <f t="shared" si="14"/>
        <v/>
      </c>
      <c r="E121" s="39" t="str">
        <f t="shared" si="15"/>
        <v/>
      </c>
      <c r="F121" s="40"/>
      <c r="G121" s="39" t="str">
        <f>IF(F121="","",E121*TAN(RADIANS(45-('PROPIEDADES DE LOS SUELOS'!$C$26/2))))</f>
        <v/>
      </c>
      <c r="H121" s="39" t="str">
        <f>IF(F121="","",IF(F121="Geomalla",(1.5*L121)/(DISEÑO!$C$20*TAN(RADIANS('PROPIEDADES DE LOS SUELOS'!$C$26))*DISEÑO!$C$21*'PROPIEDADES DE LOS SUELOS'!$C$24*'DISEÑO ALTERNATIVO'!C121*DISEÑO!$C$25*0.8),(1.5*L121)/(DISEÑO!$C$20*TAN(RADIANS('PROPIEDADES DE LOS SUELOS'!$C$26))*DISEÑO!$C$21*'PROPIEDADES DE LOS SUELOS'!$C$24*'DISEÑO ALTERNATIVO'!C121*DISEÑO!$C$25*0.6)))</f>
        <v/>
      </c>
      <c r="I121" s="39" t="str">
        <f t="shared" si="16"/>
        <v/>
      </c>
      <c r="J121" s="39" t="str">
        <f t="shared" si="17"/>
        <v/>
      </c>
      <c r="K121" s="39" t="str">
        <f>IF(J121="","",'GEOMETRIA DEL MURO'!$F$12)</f>
        <v/>
      </c>
      <c r="L121" s="39" t="str">
        <f>IF(F121="","",(('MC ANALISIS INTERNO'!$D$56*(($E$29*C121)+'CARGAS DISTRIBUIDAS'!$B$13+'CARGAS CONCENTRADAS'!$D$59))+'CARGAS CONCENTRADAS'!$D$34)*D121)</f>
        <v/>
      </c>
      <c r="M121" s="39" t="str">
        <f>IF(H121="","",'DISEÑO POR SISMO'!$D$34*('DISEÑO ALTERNATIVO'!I121/SUM($I$52:I179)))</f>
        <v/>
      </c>
      <c r="N121" s="39" t="str">
        <f t="shared" si="18"/>
        <v/>
      </c>
      <c r="O121" s="192"/>
    </row>
    <row r="122" spans="1:15" x14ac:dyDescent="0.25">
      <c r="A122" s="40" t="str">
        <f t="shared" si="13"/>
        <v/>
      </c>
      <c r="B122" s="39"/>
      <c r="C122" s="39" t="str">
        <f>IF(B122="","",IF(SUM($B$52:B122)&gt;$C$18,"",C121+B122))</f>
        <v/>
      </c>
      <c r="D122" s="39" t="str">
        <f t="shared" si="14"/>
        <v/>
      </c>
      <c r="E122" s="39" t="str">
        <f t="shared" si="15"/>
        <v/>
      </c>
      <c r="F122" s="40"/>
      <c r="G122" s="39" t="str">
        <f>IF(F122="","",E122*TAN(RADIANS(45-('PROPIEDADES DE LOS SUELOS'!$C$26/2))))</f>
        <v/>
      </c>
      <c r="H122" s="39" t="str">
        <f>IF(F122="","",IF(F122="Geomalla",(1.5*L122)/(DISEÑO!$C$20*TAN(RADIANS('PROPIEDADES DE LOS SUELOS'!$C$26))*DISEÑO!$C$21*'PROPIEDADES DE LOS SUELOS'!$C$24*'DISEÑO ALTERNATIVO'!C122*DISEÑO!$C$25*0.8),(1.5*L122)/(DISEÑO!$C$20*TAN(RADIANS('PROPIEDADES DE LOS SUELOS'!$C$26))*DISEÑO!$C$21*'PROPIEDADES DE LOS SUELOS'!$C$24*'DISEÑO ALTERNATIVO'!C122*DISEÑO!$C$25*0.6)))</f>
        <v/>
      </c>
      <c r="I122" s="39" t="str">
        <f t="shared" si="16"/>
        <v/>
      </c>
      <c r="J122" s="39" t="str">
        <f t="shared" si="17"/>
        <v/>
      </c>
      <c r="K122" s="39" t="str">
        <f>IF(J122="","",'GEOMETRIA DEL MURO'!$F$12)</f>
        <v/>
      </c>
      <c r="L122" s="39" t="str">
        <f>IF(F122="","",(('MC ANALISIS INTERNO'!$D$56*(($E$29*C122)+'CARGAS DISTRIBUIDAS'!$B$13+'CARGAS CONCENTRADAS'!$D$59))+'CARGAS CONCENTRADAS'!$D$34)*D122)</f>
        <v/>
      </c>
      <c r="M122" s="39" t="str">
        <f>IF(H122="","",'DISEÑO POR SISMO'!$D$34*('DISEÑO ALTERNATIVO'!I122/SUM($I$52:I180)))</f>
        <v/>
      </c>
      <c r="N122" s="39" t="str">
        <f t="shared" si="18"/>
        <v/>
      </c>
      <c r="O122" s="192"/>
    </row>
    <row r="123" spans="1:15" x14ac:dyDescent="0.25">
      <c r="A123" s="40" t="str">
        <f t="shared" si="13"/>
        <v/>
      </c>
      <c r="B123" s="39"/>
      <c r="C123" s="39" t="str">
        <f>IF(B123="","",IF(SUM($B$52:B123)&gt;$C$18,"",C122+B123))</f>
        <v/>
      </c>
      <c r="D123" s="39" t="str">
        <f t="shared" si="14"/>
        <v/>
      </c>
      <c r="E123" s="39" t="str">
        <f t="shared" si="15"/>
        <v/>
      </c>
      <c r="F123" s="40"/>
      <c r="G123" s="39" t="str">
        <f>IF(F123="","",E123*TAN(RADIANS(45-('PROPIEDADES DE LOS SUELOS'!$C$26/2))))</f>
        <v/>
      </c>
      <c r="H123" s="39" t="str">
        <f>IF(F123="","",IF(F123="Geomalla",(1.5*L123)/(DISEÑO!$C$20*TAN(RADIANS('PROPIEDADES DE LOS SUELOS'!$C$26))*DISEÑO!$C$21*'PROPIEDADES DE LOS SUELOS'!$C$24*'DISEÑO ALTERNATIVO'!C123*DISEÑO!$C$25*0.8),(1.5*L123)/(DISEÑO!$C$20*TAN(RADIANS('PROPIEDADES DE LOS SUELOS'!$C$26))*DISEÑO!$C$21*'PROPIEDADES DE LOS SUELOS'!$C$24*'DISEÑO ALTERNATIVO'!C123*DISEÑO!$C$25*0.6)))</f>
        <v/>
      </c>
      <c r="I123" s="39" t="str">
        <f t="shared" si="16"/>
        <v/>
      </c>
      <c r="J123" s="39" t="str">
        <f t="shared" si="17"/>
        <v/>
      </c>
      <c r="K123" s="39" t="str">
        <f>IF(J123="","",'GEOMETRIA DEL MURO'!$F$12)</f>
        <v/>
      </c>
      <c r="L123" s="39" t="str">
        <f>IF(F123="","",(('MC ANALISIS INTERNO'!$D$56*(($E$29*C123)+'CARGAS DISTRIBUIDAS'!$B$13+'CARGAS CONCENTRADAS'!$D$59))+'CARGAS CONCENTRADAS'!$D$34)*D123)</f>
        <v/>
      </c>
      <c r="M123" s="39" t="str">
        <f>IF(H123="","",'DISEÑO POR SISMO'!$D$34*('DISEÑO ALTERNATIVO'!I123/SUM($I$52:I181)))</f>
        <v/>
      </c>
      <c r="N123" s="39" t="str">
        <f t="shared" si="18"/>
        <v/>
      </c>
      <c r="O123" s="192"/>
    </row>
    <row r="124" spans="1:15" x14ac:dyDescent="0.25">
      <c r="A124" s="40" t="str">
        <f t="shared" si="13"/>
        <v/>
      </c>
      <c r="B124" s="39"/>
      <c r="C124" s="39" t="str">
        <f>IF(B124="","",IF(SUM($B$52:B124)&gt;$C$18,"",C123+B124))</f>
        <v/>
      </c>
      <c r="D124" s="39" t="str">
        <f t="shared" si="14"/>
        <v/>
      </c>
      <c r="E124" s="39" t="str">
        <f t="shared" si="15"/>
        <v/>
      </c>
      <c r="F124" s="40"/>
      <c r="G124" s="39" t="str">
        <f>IF(F124="","",E124*TAN(RADIANS(45-('PROPIEDADES DE LOS SUELOS'!$C$26/2))))</f>
        <v/>
      </c>
      <c r="H124" s="39" t="str">
        <f>IF(F124="","",IF(F124="Geomalla",(1.5*L124)/(DISEÑO!$C$20*TAN(RADIANS('PROPIEDADES DE LOS SUELOS'!$C$26))*DISEÑO!$C$21*'PROPIEDADES DE LOS SUELOS'!$C$24*'DISEÑO ALTERNATIVO'!C124*DISEÑO!$C$25*0.8),(1.5*L124)/(DISEÑO!$C$20*TAN(RADIANS('PROPIEDADES DE LOS SUELOS'!$C$26))*DISEÑO!$C$21*'PROPIEDADES DE LOS SUELOS'!$C$24*'DISEÑO ALTERNATIVO'!C124*DISEÑO!$C$25*0.6)))</f>
        <v/>
      </c>
      <c r="I124" s="39" t="str">
        <f t="shared" si="16"/>
        <v/>
      </c>
      <c r="J124" s="39" t="str">
        <f t="shared" si="17"/>
        <v/>
      </c>
      <c r="K124" s="39" t="str">
        <f>IF(J124="","",'GEOMETRIA DEL MURO'!$F$12)</f>
        <v/>
      </c>
      <c r="L124" s="39" t="str">
        <f>IF(F124="","",(('MC ANALISIS INTERNO'!$D$56*(($E$29*C124)+'CARGAS DISTRIBUIDAS'!$B$13+'CARGAS CONCENTRADAS'!$D$59))+'CARGAS CONCENTRADAS'!$D$34)*D124)</f>
        <v/>
      </c>
      <c r="M124" s="39" t="str">
        <f>IF(H124="","",'DISEÑO POR SISMO'!$D$34*('DISEÑO ALTERNATIVO'!I124/SUM($I$52:I182)))</f>
        <v/>
      </c>
      <c r="N124" s="39" t="str">
        <f t="shared" si="18"/>
        <v/>
      </c>
      <c r="O124" s="192"/>
    </row>
    <row r="125" spans="1:15" x14ac:dyDescent="0.25">
      <c r="A125" s="40" t="str">
        <f t="shared" si="13"/>
        <v/>
      </c>
      <c r="B125" s="39"/>
      <c r="C125" s="39" t="str">
        <f>IF(B125="","",IF(SUM($B$52:B125)&gt;$C$18,"",C124+B125))</f>
        <v/>
      </c>
      <c r="D125" s="39" t="str">
        <f t="shared" si="14"/>
        <v/>
      </c>
      <c r="E125" s="39" t="str">
        <f t="shared" si="15"/>
        <v/>
      </c>
      <c r="F125" s="40"/>
      <c r="G125" s="39" t="str">
        <f>IF(F125="","",E125*TAN(RADIANS(45-('PROPIEDADES DE LOS SUELOS'!$C$26/2))))</f>
        <v/>
      </c>
      <c r="H125" s="39" t="str">
        <f>IF(F125="","",IF(F125="Geomalla",(1.5*L125)/(DISEÑO!$C$20*TAN(RADIANS('PROPIEDADES DE LOS SUELOS'!$C$26))*DISEÑO!$C$21*'PROPIEDADES DE LOS SUELOS'!$C$24*'DISEÑO ALTERNATIVO'!C125*DISEÑO!$C$25*0.8),(1.5*L125)/(DISEÑO!$C$20*TAN(RADIANS('PROPIEDADES DE LOS SUELOS'!$C$26))*DISEÑO!$C$21*'PROPIEDADES DE LOS SUELOS'!$C$24*'DISEÑO ALTERNATIVO'!C125*DISEÑO!$C$25*0.6)))</f>
        <v/>
      </c>
      <c r="I125" s="39" t="str">
        <f t="shared" si="16"/>
        <v/>
      </c>
      <c r="J125" s="39" t="str">
        <f t="shared" si="17"/>
        <v/>
      </c>
      <c r="K125" s="39" t="str">
        <f>IF(J125="","",'GEOMETRIA DEL MURO'!$F$12)</f>
        <v/>
      </c>
      <c r="L125" s="39" t="str">
        <f>IF(F125="","",(('MC ANALISIS INTERNO'!$D$56*(($E$29*C125)+'CARGAS DISTRIBUIDAS'!$B$13+'CARGAS CONCENTRADAS'!$D$59))+'CARGAS CONCENTRADAS'!$D$34)*D125)</f>
        <v/>
      </c>
      <c r="M125" s="39" t="str">
        <f>IF(H125="","",'DISEÑO POR SISMO'!$D$34*('DISEÑO ALTERNATIVO'!I125/SUM($I$52:I183)))</f>
        <v/>
      </c>
      <c r="N125" s="39" t="str">
        <f t="shared" si="18"/>
        <v/>
      </c>
      <c r="O125" s="192"/>
    </row>
    <row r="126" spans="1:15" x14ac:dyDescent="0.25">
      <c r="A126" s="40" t="str">
        <f t="shared" si="13"/>
        <v/>
      </c>
      <c r="B126" s="39"/>
      <c r="C126" s="39" t="str">
        <f>IF(B126="","",IF(SUM($B$52:B126)&gt;$C$18,"",C125+B126))</f>
        <v/>
      </c>
      <c r="D126" s="39" t="str">
        <f t="shared" si="14"/>
        <v/>
      </c>
      <c r="E126" s="39" t="str">
        <f t="shared" si="15"/>
        <v/>
      </c>
      <c r="F126" s="40"/>
      <c r="G126" s="39" t="str">
        <f>IF(F126="","",E126*TAN(RADIANS(45-('PROPIEDADES DE LOS SUELOS'!$C$26/2))))</f>
        <v/>
      </c>
      <c r="H126" s="39" t="str">
        <f>IF(F126="","",IF(F126="Geomalla",(1.5*L126)/(DISEÑO!$C$20*TAN(RADIANS('PROPIEDADES DE LOS SUELOS'!$C$26))*DISEÑO!$C$21*'PROPIEDADES DE LOS SUELOS'!$C$24*'DISEÑO ALTERNATIVO'!C126*DISEÑO!$C$25*0.8),(1.5*L126)/(DISEÑO!$C$20*TAN(RADIANS('PROPIEDADES DE LOS SUELOS'!$C$26))*DISEÑO!$C$21*'PROPIEDADES DE LOS SUELOS'!$C$24*'DISEÑO ALTERNATIVO'!C126*DISEÑO!$C$25*0.6)))</f>
        <v/>
      </c>
      <c r="I126" s="39" t="str">
        <f t="shared" si="16"/>
        <v/>
      </c>
      <c r="J126" s="39" t="str">
        <f t="shared" si="17"/>
        <v/>
      </c>
      <c r="K126" s="39" t="str">
        <f>IF(J126="","",'GEOMETRIA DEL MURO'!$F$12)</f>
        <v/>
      </c>
      <c r="L126" s="39" t="str">
        <f>IF(F126="","",(('MC ANALISIS INTERNO'!$D$56*(($E$29*C126)+'CARGAS DISTRIBUIDAS'!$B$13+'CARGAS CONCENTRADAS'!$D$59))+'CARGAS CONCENTRADAS'!$D$34)*D126)</f>
        <v/>
      </c>
      <c r="M126" s="39" t="str">
        <f>IF(H126="","",'DISEÑO POR SISMO'!$D$34*('DISEÑO ALTERNATIVO'!I126/SUM($I$52:I184)))</f>
        <v/>
      </c>
      <c r="N126" s="39" t="str">
        <f t="shared" si="18"/>
        <v/>
      </c>
      <c r="O126" s="192"/>
    </row>
    <row r="127" spans="1:15" x14ac:dyDescent="0.25">
      <c r="A127" s="40" t="str">
        <f t="shared" si="13"/>
        <v/>
      </c>
      <c r="B127" s="39"/>
      <c r="C127" s="39" t="str">
        <f>IF(B127="","",IF(SUM($B$52:B127)&gt;$C$18,"",C126+B127))</f>
        <v/>
      </c>
      <c r="D127" s="39" t="str">
        <f t="shared" si="14"/>
        <v/>
      </c>
      <c r="E127" s="39" t="str">
        <f t="shared" si="15"/>
        <v/>
      </c>
      <c r="F127" s="40"/>
      <c r="G127" s="39" t="str">
        <f>IF(F127="","",E127*TAN(RADIANS(45-('PROPIEDADES DE LOS SUELOS'!$C$26/2))))</f>
        <v/>
      </c>
      <c r="H127" s="39" t="str">
        <f>IF(F127="","",IF(F127="Geomalla",(1.5*L127)/(DISEÑO!$C$20*TAN(RADIANS('PROPIEDADES DE LOS SUELOS'!$C$26))*DISEÑO!$C$21*'PROPIEDADES DE LOS SUELOS'!$C$24*'DISEÑO ALTERNATIVO'!C127*DISEÑO!$C$25*0.8),(1.5*L127)/(DISEÑO!$C$20*TAN(RADIANS('PROPIEDADES DE LOS SUELOS'!$C$26))*DISEÑO!$C$21*'PROPIEDADES DE LOS SUELOS'!$C$24*'DISEÑO ALTERNATIVO'!C127*DISEÑO!$C$25*0.6)))</f>
        <v/>
      </c>
      <c r="I127" s="39" t="str">
        <f t="shared" si="16"/>
        <v/>
      </c>
      <c r="J127" s="39" t="str">
        <f t="shared" si="17"/>
        <v/>
      </c>
      <c r="K127" s="39" t="str">
        <f>IF(J127="","",'GEOMETRIA DEL MURO'!$F$12)</f>
        <v/>
      </c>
      <c r="L127" s="39" t="str">
        <f>IF(F127="","",(('MC ANALISIS INTERNO'!$D$56*(($E$29*C127)+'CARGAS DISTRIBUIDAS'!$B$13+'CARGAS CONCENTRADAS'!$D$59))+'CARGAS CONCENTRADAS'!$D$34)*D127)</f>
        <v/>
      </c>
      <c r="M127" s="39" t="str">
        <f>IF(H127="","",'DISEÑO POR SISMO'!$D$34*('DISEÑO ALTERNATIVO'!I127/SUM($I$52:I185)))</f>
        <v/>
      </c>
      <c r="N127" s="39" t="str">
        <f t="shared" si="18"/>
        <v/>
      </c>
      <c r="O127" s="192"/>
    </row>
    <row r="128" spans="1:15" x14ac:dyDescent="0.25">
      <c r="A128" s="40" t="str">
        <f t="shared" si="13"/>
        <v/>
      </c>
      <c r="B128" s="39"/>
      <c r="C128" s="39" t="str">
        <f>IF(B128="","",IF(SUM($B$52:B128)&gt;$C$18,"",C127+B128))</f>
        <v/>
      </c>
      <c r="D128" s="39" t="str">
        <f t="shared" si="14"/>
        <v/>
      </c>
      <c r="E128" s="39" t="str">
        <f t="shared" si="15"/>
        <v/>
      </c>
      <c r="F128" s="40"/>
      <c r="G128" s="39" t="str">
        <f>IF(F128="","",E128*TAN(RADIANS(45-('PROPIEDADES DE LOS SUELOS'!$C$26/2))))</f>
        <v/>
      </c>
      <c r="H128" s="39" t="str">
        <f>IF(F128="","",IF(F128="Geomalla",(1.5*L128)/(DISEÑO!$C$20*TAN(RADIANS('PROPIEDADES DE LOS SUELOS'!$C$26))*DISEÑO!$C$21*'PROPIEDADES DE LOS SUELOS'!$C$24*'DISEÑO ALTERNATIVO'!C128*DISEÑO!$C$25*0.8),(1.5*L128)/(DISEÑO!$C$20*TAN(RADIANS('PROPIEDADES DE LOS SUELOS'!$C$26))*DISEÑO!$C$21*'PROPIEDADES DE LOS SUELOS'!$C$24*'DISEÑO ALTERNATIVO'!C128*DISEÑO!$C$25*0.6)))</f>
        <v/>
      </c>
      <c r="I128" s="39" t="str">
        <f t="shared" si="16"/>
        <v/>
      </c>
      <c r="J128" s="39" t="str">
        <f t="shared" si="17"/>
        <v/>
      </c>
      <c r="K128" s="39" t="str">
        <f>IF(J128="","",'GEOMETRIA DEL MURO'!$F$12)</f>
        <v/>
      </c>
      <c r="L128" s="39" t="str">
        <f>IF(F128="","",(('MC ANALISIS INTERNO'!$D$56*(($E$29*C128)+'CARGAS DISTRIBUIDAS'!$B$13+'CARGAS CONCENTRADAS'!$D$59))+'CARGAS CONCENTRADAS'!$D$34)*D128)</f>
        <v/>
      </c>
      <c r="M128" s="39" t="str">
        <f>IF(H128="","",'DISEÑO POR SISMO'!$D$34*('DISEÑO ALTERNATIVO'!I128/SUM($I$52:I186)))</f>
        <v/>
      </c>
      <c r="N128" s="39" t="str">
        <f t="shared" si="18"/>
        <v/>
      </c>
      <c r="O128" s="192"/>
    </row>
    <row r="129" spans="1:15" x14ac:dyDescent="0.25">
      <c r="A129" s="40" t="str">
        <f t="shared" si="13"/>
        <v/>
      </c>
      <c r="B129" s="39"/>
      <c r="C129" s="39" t="str">
        <f>IF(B129="","",IF(SUM($B$52:B129)&gt;$C$18,"",C128+B129))</f>
        <v/>
      </c>
      <c r="D129" s="39" t="str">
        <f t="shared" si="14"/>
        <v/>
      </c>
      <c r="E129" s="39" t="str">
        <f t="shared" si="15"/>
        <v/>
      </c>
      <c r="F129" s="40"/>
      <c r="G129" s="39" t="str">
        <f>IF(F129="","",E129*TAN(RADIANS(45-('PROPIEDADES DE LOS SUELOS'!$C$26/2))))</f>
        <v/>
      </c>
      <c r="H129" s="39" t="str">
        <f>IF(F129="","",IF(F129="Geomalla",(1.5*L129)/(DISEÑO!$C$20*TAN(RADIANS('PROPIEDADES DE LOS SUELOS'!$C$26))*DISEÑO!$C$21*'PROPIEDADES DE LOS SUELOS'!$C$24*'DISEÑO ALTERNATIVO'!C129*DISEÑO!$C$25*0.8),(1.5*L129)/(DISEÑO!$C$20*TAN(RADIANS('PROPIEDADES DE LOS SUELOS'!$C$26))*DISEÑO!$C$21*'PROPIEDADES DE LOS SUELOS'!$C$24*'DISEÑO ALTERNATIVO'!C129*DISEÑO!$C$25*0.6)))</f>
        <v/>
      </c>
      <c r="I129" s="39" t="str">
        <f t="shared" si="16"/>
        <v/>
      </c>
      <c r="J129" s="39" t="str">
        <f t="shared" si="17"/>
        <v/>
      </c>
      <c r="K129" s="39" t="str">
        <f>IF(J129="","",'GEOMETRIA DEL MURO'!$F$12)</f>
        <v/>
      </c>
      <c r="L129" s="39" t="str">
        <f>IF(F129="","",(('MC ANALISIS INTERNO'!$D$56*(($E$29*C129)+'CARGAS DISTRIBUIDAS'!$B$13+'CARGAS CONCENTRADAS'!$D$59))+'CARGAS CONCENTRADAS'!$D$34)*D129)</f>
        <v/>
      </c>
      <c r="M129" s="39" t="str">
        <f>IF(H129="","",'DISEÑO POR SISMO'!$D$34*('DISEÑO ALTERNATIVO'!I129/SUM($I$52:I187)))</f>
        <v/>
      </c>
      <c r="N129" s="39" t="str">
        <f t="shared" si="18"/>
        <v/>
      </c>
      <c r="O129" s="192"/>
    </row>
    <row r="130" spans="1:15" x14ac:dyDescent="0.25">
      <c r="A130" s="40" t="str">
        <f t="shared" si="13"/>
        <v/>
      </c>
      <c r="B130" s="39"/>
      <c r="C130" s="39" t="str">
        <f>IF(B130="","",IF(SUM($B$52:B130)&gt;$C$18,"",C129+B130))</f>
        <v/>
      </c>
      <c r="D130" s="39" t="str">
        <f t="shared" si="14"/>
        <v/>
      </c>
      <c r="E130" s="39" t="str">
        <f t="shared" si="15"/>
        <v/>
      </c>
      <c r="F130" s="40"/>
      <c r="G130" s="39" t="str">
        <f>IF(F130="","",E130*TAN(RADIANS(45-('PROPIEDADES DE LOS SUELOS'!$C$26/2))))</f>
        <v/>
      </c>
      <c r="H130" s="39" t="str">
        <f>IF(F130="","",IF(F130="Geomalla",(1.5*L130)/(DISEÑO!$C$20*TAN(RADIANS('PROPIEDADES DE LOS SUELOS'!$C$26))*DISEÑO!$C$21*'PROPIEDADES DE LOS SUELOS'!$C$24*'DISEÑO ALTERNATIVO'!C130*DISEÑO!$C$25*0.8),(1.5*L130)/(DISEÑO!$C$20*TAN(RADIANS('PROPIEDADES DE LOS SUELOS'!$C$26))*DISEÑO!$C$21*'PROPIEDADES DE LOS SUELOS'!$C$24*'DISEÑO ALTERNATIVO'!C130*DISEÑO!$C$25*0.6)))</f>
        <v/>
      </c>
      <c r="I130" s="39" t="str">
        <f t="shared" si="16"/>
        <v/>
      </c>
      <c r="J130" s="39" t="str">
        <f t="shared" si="17"/>
        <v/>
      </c>
      <c r="K130" s="39" t="str">
        <f>IF(J130="","",'GEOMETRIA DEL MURO'!$F$12)</f>
        <v/>
      </c>
      <c r="L130" s="39" t="str">
        <f>IF(F130="","",(('MC ANALISIS INTERNO'!$D$56*(($E$29*C130)+'CARGAS DISTRIBUIDAS'!$B$13+'CARGAS CONCENTRADAS'!$D$59))+'CARGAS CONCENTRADAS'!$D$34)*D130)</f>
        <v/>
      </c>
      <c r="M130" s="39" t="str">
        <f>IF(H130="","",'DISEÑO POR SISMO'!$D$34*('DISEÑO ALTERNATIVO'!I130/SUM($I$52:I188)))</f>
        <v/>
      </c>
      <c r="N130" s="39" t="str">
        <f t="shared" si="18"/>
        <v/>
      </c>
      <c r="O130" s="192"/>
    </row>
    <row r="131" spans="1:15" x14ac:dyDescent="0.25">
      <c r="A131" s="40" t="str">
        <f t="shared" si="13"/>
        <v/>
      </c>
      <c r="B131" s="39"/>
      <c r="C131" s="39" t="str">
        <f>IF(B131="","",IF(SUM($B$52:B131)&gt;$C$18,"",C130+B131))</f>
        <v/>
      </c>
      <c r="D131" s="39" t="str">
        <f t="shared" si="14"/>
        <v/>
      </c>
      <c r="E131" s="39" t="str">
        <f t="shared" si="15"/>
        <v/>
      </c>
      <c r="F131" s="40"/>
      <c r="G131" s="39" t="str">
        <f>IF(F131="","",E131*TAN(RADIANS(45-('PROPIEDADES DE LOS SUELOS'!$C$26/2))))</f>
        <v/>
      </c>
      <c r="H131" s="39" t="str">
        <f>IF(F131="","",IF(F131="Geomalla",(1.5*L131)/(DISEÑO!$C$20*TAN(RADIANS('PROPIEDADES DE LOS SUELOS'!$C$26))*DISEÑO!$C$21*'PROPIEDADES DE LOS SUELOS'!$C$24*'DISEÑO ALTERNATIVO'!C131*DISEÑO!$C$25*0.8),(1.5*L131)/(DISEÑO!$C$20*TAN(RADIANS('PROPIEDADES DE LOS SUELOS'!$C$26))*DISEÑO!$C$21*'PROPIEDADES DE LOS SUELOS'!$C$24*'DISEÑO ALTERNATIVO'!C131*DISEÑO!$C$25*0.6)))</f>
        <v/>
      </c>
      <c r="I131" s="39" t="str">
        <f t="shared" si="16"/>
        <v/>
      </c>
      <c r="J131" s="39" t="str">
        <f t="shared" si="17"/>
        <v/>
      </c>
      <c r="K131" s="39" t="str">
        <f>IF(J131="","",'GEOMETRIA DEL MURO'!$F$12)</f>
        <v/>
      </c>
      <c r="L131" s="39" t="str">
        <f>IF(F131="","",(('MC ANALISIS INTERNO'!$D$56*(($E$29*C131)+'CARGAS DISTRIBUIDAS'!$B$13+'CARGAS CONCENTRADAS'!$D$59))+'CARGAS CONCENTRADAS'!$D$34)*D131)</f>
        <v/>
      </c>
      <c r="M131" s="39" t="str">
        <f>IF(H131="","",'DISEÑO POR SISMO'!$D$34*('DISEÑO ALTERNATIVO'!I131/SUM($I$52:I189)))</f>
        <v/>
      </c>
      <c r="N131" s="39" t="str">
        <f t="shared" si="18"/>
        <v/>
      </c>
      <c r="O131" s="192"/>
    </row>
    <row r="132" spans="1:15" x14ac:dyDescent="0.25">
      <c r="A132" s="40" t="str">
        <f t="shared" si="13"/>
        <v/>
      </c>
      <c r="B132" s="39"/>
      <c r="C132" s="39" t="str">
        <f>IF(B132="","",IF(SUM($B$52:B132)&gt;$C$18,"",C131+B132))</f>
        <v/>
      </c>
      <c r="D132" s="39" t="str">
        <f t="shared" si="14"/>
        <v/>
      </c>
      <c r="E132" s="39" t="str">
        <f t="shared" si="15"/>
        <v/>
      </c>
      <c r="F132" s="40"/>
      <c r="G132" s="39" t="str">
        <f>IF(F132="","",E132*TAN(RADIANS(45-('PROPIEDADES DE LOS SUELOS'!$C$26/2))))</f>
        <v/>
      </c>
      <c r="H132" s="39" t="str">
        <f>IF(F132="","",IF(F132="Geomalla",(1.5*L132)/(DISEÑO!$C$20*TAN(RADIANS('PROPIEDADES DE LOS SUELOS'!$C$26))*DISEÑO!$C$21*'PROPIEDADES DE LOS SUELOS'!$C$24*'DISEÑO ALTERNATIVO'!C132*DISEÑO!$C$25*0.8),(1.5*L132)/(DISEÑO!$C$20*TAN(RADIANS('PROPIEDADES DE LOS SUELOS'!$C$26))*DISEÑO!$C$21*'PROPIEDADES DE LOS SUELOS'!$C$24*'DISEÑO ALTERNATIVO'!C132*DISEÑO!$C$25*0.6)))</f>
        <v/>
      </c>
      <c r="I132" s="39" t="str">
        <f t="shared" si="16"/>
        <v/>
      </c>
      <c r="J132" s="39" t="str">
        <f t="shared" si="17"/>
        <v/>
      </c>
      <c r="K132" s="39" t="str">
        <f>IF(J132="","",'GEOMETRIA DEL MURO'!$F$12)</f>
        <v/>
      </c>
      <c r="L132" s="39" t="str">
        <f>IF(F132="","",(('MC ANALISIS INTERNO'!$D$56*(($E$29*C132)+'CARGAS DISTRIBUIDAS'!$B$13+'CARGAS CONCENTRADAS'!$D$59))+'CARGAS CONCENTRADAS'!$D$34)*D132)</f>
        <v/>
      </c>
      <c r="M132" s="39" t="str">
        <f>IF(H132="","",'DISEÑO POR SISMO'!$D$34*('DISEÑO ALTERNATIVO'!I132/SUM($I$52:I190)))</f>
        <v/>
      </c>
      <c r="N132" s="39" t="str">
        <f t="shared" si="18"/>
        <v/>
      </c>
      <c r="O132" s="192"/>
    </row>
    <row r="133" spans="1:15" x14ac:dyDescent="0.25">
      <c r="A133" s="40" t="str">
        <f t="shared" si="13"/>
        <v/>
      </c>
      <c r="B133" s="39"/>
      <c r="C133" s="39" t="str">
        <f>IF(B133="","",IF(SUM($B$52:B133)&gt;$C$18,"",C132+B133))</f>
        <v/>
      </c>
      <c r="D133" s="39" t="str">
        <f t="shared" si="14"/>
        <v/>
      </c>
      <c r="E133" s="39" t="str">
        <f t="shared" si="15"/>
        <v/>
      </c>
      <c r="F133" s="40"/>
      <c r="G133" s="39" t="str">
        <f>IF(F133="","",E133*TAN(RADIANS(45-('PROPIEDADES DE LOS SUELOS'!$C$26/2))))</f>
        <v/>
      </c>
      <c r="H133" s="39" t="str">
        <f>IF(F133="","",IF(F133="Geomalla",(1.5*L133)/(DISEÑO!$C$20*TAN(RADIANS('PROPIEDADES DE LOS SUELOS'!$C$26))*DISEÑO!$C$21*'PROPIEDADES DE LOS SUELOS'!$C$24*'DISEÑO ALTERNATIVO'!C133*DISEÑO!$C$25*0.8),(1.5*L133)/(DISEÑO!$C$20*TAN(RADIANS('PROPIEDADES DE LOS SUELOS'!$C$26))*DISEÑO!$C$21*'PROPIEDADES DE LOS SUELOS'!$C$24*'DISEÑO ALTERNATIVO'!C133*DISEÑO!$C$25*0.6)))</f>
        <v/>
      </c>
      <c r="I133" s="39" t="str">
        <f t="shared" si="16"/>
        <v/>
      </c>
      <c r="J133" s="39" t="str">
        <f t="shared" si="17"/>
        <v/>
      </c>
      <c r="K133" s="39" t="str">
        <f>IF(J133="","",'GEOMETRIA DEL MURO'!$F$12)</f>
        <v/>
      </c>
      <c r="L133" s="39" t="str">
        <f>IF(F133="","",(('MC ANALISIS INTERNO'!$D$56*(($E$29*C133)+'CARGAS DISTRIBUIDAS'!$B$13+'CARGAS CONCENTRADAS'!$D$59))+'CARGAS CONCENTRADAS'!$D$34)*D133)</f>
        <v/>
      </c>
      <c r="M133" s="39" t="str">
        <f>IF(H133="","",'DISEÑO POR SISMO'!$D$34*('DISEÑO ALTERNATIVO'!I133/SUM($I$52:I191)))</f>
        <v/>
      </c>
      <c r="N133" s="39" t="str">
        <f t="shared" si="18"/>
        <v/>
      </c>
      <c r="O133" s="192"/>
    </row>
    <row r="134" spans="1:15" x14ac:dyDescent="0.25">
      <c r="A134" s="40" t="str">
        <f t="shared" ref="A134:A160" si="19">IF(B134="","",A133+1)</f>
        <v/>
      </c>
      <c r="B134" s="39"/>
      <c r="C134" s="39" t="str">
        <f>IF(B134="","",IF(SUM($B$52:B134)&gt;$C$18,"",C133+B134))</f>
        <v/>
      </c>
      <c r="D134" s="39" t="str">
        <f t="shared" ref="D134:D160" si="20">IF(C134=$C$18,(0.5*B134)+(0.5*B134),IF(C134="","",(0.5*B134)+(0.5*B135)))</f>
        <v/>
      </c>
      <c r="E134" s="39" t="str">
        <f t="shared" ref="E134:E160" si="21">IF(D134="","",$C$18-C134)</f>
        <v/>
      </c>
      <c r="F134" s="40"/>
      <c r="G134" s="39" t="str">
        <f>IF(F134="","",E134*TAN(RADIANS(45-('PROPIEDADES DE LOS SUELOS'!$C$26/2))))</f>
        <v/>
      </c>
      <c r="H134" s="39" t="str">
        <f>IF(F134="","",IF(F134="Geomalla",(1.5*L134)/(DISEÑO!$C$20*TAN(RADIANS('PROPIEDADES DE LOS SUELOS'!$C$26))*DISEÑO!$C$21*'PROPIEDADES DE LOS SUELOS'!$C$24*'DISEÑO ALTERNATIVO'!C134*DISEÑO!$C$25*0.8),(1.5*L134)/(DISEÑO!$C$20*TAN(RADIANS('PROPIEDADES DE LOS SUELOS'!$C$26))*DISEÑO!$C$21*'PROPIEDADES DE LOS SUELOS'!$C$24*'DISEÑO ALTERNATIVO'!C134*DISEÑO!$C$25*0.6)))</f>
        <v/>
      </c>
      <c r="I134" s="39" t="str">
        <f t="shared" ref="I134:I160" si="22">IF(D134="","",IF(H134&lt;1,1,H134))</f>
        <v/>
      </c>
      <c r="J134" s="39" t="str">
        <f t="shared" ref="J134:J160" si="23">IF(F134="","",G134+I134)</f>
        <v/>
      </c>
      <c r="K134" s="39" t="str">
        <f>IF(J134="","",'GEOMETRIA DEL MURO'!$F$12)</f>
        <v/>
      </c>
      <c r="L134" s="39" t="str">
        <f>IF(F134="","",(('MC ANALISIS INTERNO'!$D$56*(($E$29*C134)+'CARGAS DISTRIBUIDAS'!$B$13+'CARGAS CONCENTRADAS'!$D$59))+'CARGAS CONCENTRADAS'!$D$34)*D134)</f>
        <v/>
      </c>
      <c r="M134" s="39" t="str">
        <f>IF(H134="","",'DISEÑO POR SISMO'!$D$34*('DISEÑO ALTERNATIVO'!I134/SUM($I$52:I192)))</f>
        <v/>
      </c>
      <c r="N134" s="39" t="str">
        <f t="shared" ref="N134:N160" si="24">IF(L134="","",L134+M134)</f>
        <v/>
      </c>
      <c r="O134" s="192"/>
    </row>
    <row r="135" spans="1:15" x14ac:dyDescent="0.25">
      <c r="A135" s="40" t="str">
        <f t="shared" si="19"/>
        <v/>
      </c>
      <c r="B135" s="39"/>
      <c r="C135" s="39" t="str">
        <f>IF(B135="","",IF(SUM($B$52:B135)&gt;$C$18,"",C134+B135))</f>
        <v/>
      </c>
      <c r="D135" s="39" t="str">
        <f t="shared" si="20"/>
        <v/>
      </c>
      <c r="E135" s="39" t="str">
        <f t="shared" si="21"/>
        <v/>
      </c>
      <c r="F135" s="40"/>
      <c r="G135" s="39" t="str">
        <f>IF(F135="","",E135*TAN(RADIANS(45-('PROPIEDADES DE LOS SUELOS'!$C$26/2))))</f>
        <v/>
      </c>
      <c r="H135" s="39" t="str">
        <f>IF(F135="","",IF(F135="Geomalla",(1.5*L135)/(DISEÑO!$C$20*TAN(RADIANS('PROPIEDADES DE LOS SUELOS'!$C$26))*DISEÑO!$C$21*'PROPIEDADES DE LOS SUELOS'!$C$24*'DISEÑO ALTERNATIVO'!C135*DISEÑO!$C$25*0.8),(1.5*L135)/(DISEÑO!$C$20*TAN(RADIANS('PROPIEDADES DE LOS SUELOS'!$C$26))*DISEÑO!$C$21*'PROPIEDADES DE LOS SUELOS'!$C$24*'DISEÑO ALTERNATIVO'!C135*DISEÑO!$C$25*0.6)))</f>
        <v/>
      </c>
      <c r="I135" s="39" t="str">
        <f t="shared" si="22"/>
        <v/>
      </c>
      <c r="J135" s="39" t="str">
        <f t="shared" si="23"/>
        <v/>
      </c>
      <c r="K135" s="39" t="str">
        <f>IF(J135="","",'GEOMETRIA DEL MURO'!$F$12)</f>
        <v/>
      </c>
      <c r="L135" s="39" t="str">
        <f>IF(F135="","",(('MC ANALISIS INTERNO'!$D$56*(($E$29*C135)+'CARGAS DISTRIBUIDAS'!$B$13+'CARGAS CONCENTRADAS'!$D$59))+'CARGAS CONCENTRADAS'!$D$34)*D135)</f>
        <v/>
      </c>
      <c r="M135" s="39" t="str">
        <f>IF(H135="","",'DISEÑO POR SISMO'!$D$34*('DISEÑO ALTERNATIVO'!I135/SUM($I$52:I193)))</f>
        <v/>
      </c>
      <c r="N135" s="39" t="str">
        <f t="shared" si="24"/>
        <v/>
      </c>
      <c r="O135" s="192"/>
    </row>
    <row r="136" spans="1:15" x14ac:dyDescent="0.25">
      <c r="A136" s="40" t="str">
        <f t="shared" si="19"/>
        <v/>
      </c>
      <c r="B136" s="39"/>
      <c r="C136" s="39" t="str">
        <f>IF(B136="","",IF(SUM($B$52:B136)&gt;$C$18,"",C135+B136))</f>
        <v/>
      </c>
      <c r="D136" s="39" t="str">
        <f t="shared" si="20"/>
        <v/>
      </c>
      <c r="E136" s="39" t="str">
        <f t="shared" si="21"/>
        <v/>
      </c>
      <c r="F136" s="40"/>
      <c r="G136" s="39" t="str">
        <f>IF(F136="","",E136*TAN(RADIANS(45-('PROPIEDADES DE LOS SUELOS'!$C$26/2))))</f>
        <v/>
      </c>
      <c r="H136" s="39" t="str">
        <f>IF(F136="","",IF(F136="Geomalla",(1.5*L136)/(DISEÑO!$C$20*TAN(RADIANS('PROPIEDADES DE LOS SUELOS'!$C$26))*DISEÑO!$C$21*'PROPIEDADES DE LOS SUELOS'!$C$24*'DISEÑO ALTERNATIVO'!C136*DISEÑO!$C$25*0.8),(1.5*L136)/(DISEÑO!$C$20*TAN(RADIANS('PROPIEDADES DE LOS SUELOS'!$C$26))*DISEÑO!$C$21*'PROPIEDADES DE LOS SUELOS'!$C$24*'DISEÑO ALTERNATIVO'!C136*DISEÑO!$C$25*0.6)))</f>
        <v/>
      </c>
      <c r="I136" s="39" t="str">
        <f t="shared" si="22"/>
        <v/>
      </c>
      <c r="J136" s="39" t="str">
        <f t="shared" si="23"/>
        <v/>
      </c>
      <c r="K136" s="39" t="str">
        <f>IF(J136="","",'GEOMETRIA DEL MURO'!$F$12)</f>
        <v/>
      </c>
      <c r="L136" s="39" t="str">
        <f>IF(F136="","",(('MC ANALISIS INTERNO'!$D$56*(($E$29*C136)+'CARGAS DISTRIBUIDAS'!$B$13+'CARGAS CONCENTRADAS'!$D$59))+'CARGAS CONCENTRADAS'!$D$34)*D136)</f>
        <v/>
      </c>
      <c r="M136" s="39" t="str">
        <f>IF(H136="","",'DISEÑO POR SISMO'!$D$34*('DISEÑO ALTERNATIVO'!I136/SUM($I$52:I194)))</f>
        <v/>
      </c>
      <c r="N136" s="39" t="str">
        <f t="shared" si="24"/>
        <v/>
      </c>
      <c r="O136" s="192"/>
    </row>
    <row r="137" spans="1:15" x14ac:dyDescent="0.25">
      <c r="A137" s="40" t="str">
        <f t="shared" si="19"/>
        <v/>
      </c>
      <c r="B137" s="39"/>
      <c r="C137" s="39" t="str">
        <f>IF(B137="","",IF(SUM($B$52:B137)&gt;$C$18,"",C136+B137))</f>
        <v/>
      </c>
      <c r="D137" s="39" t="str">
        <f t="shared" si="20"/>
        <v/>
      </c>
      <c r="E137" s="39" t="str">
        <f t="shared" si="21"/>
        <v/>
      </c>
      <c r="F137" s="40"/>
      <c r="G137" s="39" t="str">
        <f>IF(F137="","",E137*TAN(RADIANS(45-('PROPIEDADES DE LOS SUELOS'!$C$26/2))))</f>
        <v/>
      </c>
      <c r="H137" s="39" t="str">
        <f>IF(F137="","",IF(F137="Geomalla",(1.5*L137)/(DISEÑO!$C$20*TAN(RADIANS('PROPIEDADES DE LOS SUELOS'!$C$26))*DISEÑO!$C$21*'PROPIEDADES DE LOS SUELOS'!$C$24*'DISEÑO ALTERNATIVO'!C137*DISEÑO!$C$25*0.8),(1.5*L137)/(DISEÑO!$C$20*TAN(RADIANS('PROPIEDADES DE LOS SUELOS'!$C$26))*DISEÑO!$C$21*'PROPIEDADES DE LOS SUELOS'!$C$24*'DISEÑO ALTERNATIVO'!C137*DISEÑO!$C$25*0.6)))</f>
        <v/>
      </c>
      <c r="I137" s="39" t="str">
        <f t="shared" si="22"/>
        <v/>
      </c>
      <c r="J137" s="39" t="str">
        <f t="shared" si="23"/>
        <v/>
      </c>
      <c r="K137" s="39" t="str">
        <f>IF(J137="","",'GEOMETRIA DEL MURO'!$F$12)</f>
        <v/>
      </c>
      <c r="L137" s="39" t="str">
        <f>IF(F137="","",(('MC ANALISIS INTERNO'!$D$56*(($E$29*C137)+'CARGAS DISTRIBUIDAS'!$B$13+'CARGAS CONCENTRADAS'!$D$59))+'CARGAS CONCENTRADAS'!$D$34)*D137)</f>
        <v/>
      </c>
      <c r="M137" s="39" t="str">
        <f>IF(H137="","",'DISEÑO POR SISMO'!$D$34*('DISEÑO ALTERNATIVO'!I137/SUM($I$52:I195)))</f>
        <v/>
      </c>
      <c r="N137" s="39" t="str">
        <f t="shared" si="24"/>
        <v/>
      </c>
      <c r="O137" s="192"/>
    </row>
    <row r="138" spans="1:15" x14ac:dyDescent="0.25">
      <c r="A138" s="40" t="str">
        <f t="shared" si="19"/>
        <v/>
      </c>
      <c r="B138" s="39"/>
      <c r="C138" s="39" t="str">
        <f>IF(B138="","",IF(SUM($B$52:B138)&gt;$C$18,"",C137+B138))</f>
        <v/>
      </c>
      <c r="D138" s="39" t="str">
        <f t="shared" si="20"/>
        <v/>
      </c>
      <c r="E138" s="39" t="str">
        <f t="shared" si="21"/>
        <v/>
      </c>
      <c r="F138" s="40"/>
      <c r="G138" s="39" t="str">
        <f>IF(F138="","",E138*TAN(RADIANS(45-('PROPIEDADES DE LOS SUELOS'!$C$26/2))))</f>
        <v/>
      </c>
      <c r="H138" s="39" t="str">
        <f>IF(F138="","",IF(F138="Geomalla",(1.5*L138)/(DISEÑO!$C$20*TAN(RADIANS('PROPIEDADES DE LOS SUELOS'!$C$26))*DISEÑO!$C$21*'PROPIEDADES DE LOS SUELOS'!$C$24*'DISEÑO ALTERNATIVO'!C138*DISEÑO!$C$25*0.8),(1.5*L138)/(DISEÑO!$C$20*TAN(RADIANS('PROPIEDADES DE LOS SUELOS'!$C$26))*DISEÑO!$C$21*'PROPIEDADES DE LOS SUELOS'!$C$24*'DISEÑO ALTERNATIVO'!C138*DISEÑO!$C$25*0.6)))</f>
        <v/>
      </c>
      <c r="I138" s="39" t="str">
        <f t="shared" si="22"/>
        <v/>
      </c>
      <c r="J138" s="39" t="str">
        <f t="shared" si="23"/>
        <v/>
      </c>
      <c r="K138" s="39" t="str">
        <f>IF(J138="","",'GEOMETRIA DEL MURO'!$F$12)</f>
        <v/>
      </c>
      <c r="L138" s="39" t="str">
        <f>IF(F138="","",(('MC ANALISIS INTERNO'!$D$56*(($E$29*C138)+'CARGAS DISTRIBUIDAS'!$B$13+'CARGAS CONCENTRADAS'!$D$59))+'CARGAS CONCENTRADAS'!$D$34)*D138)</f>
        <v/>
      </c>
      <c r="M138" s="39" t="str">
        <f>IF(H138="","",'DISEÑO POR SISMO'!$D$34*('DISEÑO ALTERNATIVO'!I138/SUM($I$52:I196)))</f>
        <v/>
      </c>
      <c r="N138" s="39" t="str">
        <f t="shared" si="24"/>
        <v/>
      </c>
      <c r="O138" s="192"/>
    </row>
    <row r="139" spans="1:15" x14ac:dyDescent="0.25">
      <c r="A139" s="40" t="str">
        <f t="shared" si="19"/>
        <v/>
      </c>
      <c r="B139" s="39"/>
      <c r="C139" s="39" t="str">
        <f>IF(B139="","",IF(SUM($B$52:B139)&gt;$C$18,"",C138+B139))</f>
        <v/>
      </c>
      <c r="D139" s="39" t="str">
        <f t="shared" si="20"/>
        <v/>
      </c>
      <c r="E139" s="39" t="str">
        <f t="shared" si="21"/>
        <v/>
      </c>
      <c r="F139" s="40"/>
      <c r="G139" s="39" t="str">
        <f>IF(F139="","",E139*TAN(RADIANS(45-('PROPIEDADES DE LOS SUELOS'!$C$26/2))))</f>
        <v/>
      </c>
      <c r="H139" s="39" t="str">
        <f>IF(F139="","",IF(F139="Geomalla",(1.5*L139)/(DISEÑO!$C$20*TAN(RADIANS('PROPIEDADES DE LOS SUELOS'!$C$26))*DISEÑO!$C$21*'PROPIEDADES DE LOS SUELOS'!$C$24*'DISEÑO ALTERNATIVO'!C139*DISEÑO!$C$25*0.8),(1.5*L139)/(DISEÑO!$C$20*TAN(RADIANS('PROPIEDADES DE LOS SUELOS'!$C$26))*DISEÑO!$C$21*'PROPIEDADES DE LOS SUELOS'!$C$24*'DISEÑO ALTERNATIVO'!C139*DISEÑO!$C$25*0.6)))</f>
        <v/>
      </c>
      <c r="I139" s="39" t="str">
        <f t="shared" si="22"/>
        <v/>
      </c>
      <c r="J139" s="39" t="str">
        <f t="shared" si="23"/>
        <v/>
      </c>
      <c r="K139" s="39" t="str">
        <f>IF(J139="","",'GEOMETRIA DEL MURO'!$F$12)</f>
        <v/>
      </c>
      <c r="L139" s="39" t="str">
        <f>IF(F139="","",(('MC ANALISIS INTERNO'!$D$56*(($E$29*C139)+'CARGAS DISTRIBUIDAS'!$B$13+'CARGAS CONCENTRADAS'!$D$59))+'CARGAS CONCENTRADAS'!$D$34)*D139)</f>
        <v/>
      </c>
      <c r="M139" s="39" t="str">
        <f>IF(H139="","",'DISEÑO POR SISMO'!$D$34*('DISEÑO ALTERNATIVO'!I139/SUM($I$52:I197)))</f>
        <v/>
      </c>
      <c r="N139" s="39" t="str">
        <f t="shared" si="24"/>
        <v/>
      </c>
      <c r="O139" s="192"/>
    </row>
    <row r="140" spans="1:15" x14ac:dyDescent="0.25">
      <c r="A140" s="40" t="str">
        <f t="shared" si="19"/>
        <v/>
      </c>
      <c r="B140" s="39"/>
      <c r="C140" s="39" t="str">
        <f>IF(B140="","",IF(SUM($B$52:B140)&gt;$C$18,"",C139+B140))</f>
        <v/>
      </c>
      <c r="D140" s="39" t="str">
        <f t="shared" si="20"/>
        <v/>
      </c>
      <c r="E140" s="39" t="str">
        <f t="shared" si="21"/>
        <v/>
      </c>
      <c r="F140" s="40"/>
      <c r="G140" s="39" t="str">
        <f>IF(F140="","",E140*TAN(RADIANS(45-('PROPIEDADES DE LOS SUELOS'!$C$26/2))))</f>
        <v/>
      </c>
      <c r="H140" s="39" t="str">
        <f>IF(F140="","",IF(F140="Geomalla",(1.5*L140)/(DISEÑO!$C$20*TAN(RADIANS('PROPIEDADES DE LOS SUELOS'!$C$26))*DISEÑO!$C$21*'PROPIEDADES DE LOS SUELOS'!$C$24*'DISEÑO ALTERNATIVO'!C140*DISEÑO!$C$25*0.8),(1.5*L140)/(DISEÑO!$C$20*TAN(RADIANS('PROPIEDADES DE LOS SUELOS'!$C$26))*DISEÑO!$C$21*'PROPIEDADES DE LOS SUELOS'!$C$24*'DISEÑO ALTERNATIVO'!C140*DISEÑO!$C$25*0.6)))</f>
        <v/>
      </c>
      <c r="I140" s="39" t="str">
        <f t="shared" si="22"/>
        <v/>
      </c>
      <c r="J140" s="39" t="str">
        <f t="shared" si="23"/>
        <v/>
      </c>
      <c r="K140" s="39" t="str">
        <f>IF(J140="","",'GEOMETRIA DEL MURO'!$F$12)</f>
        <v/>
      </c>
      <c r="L140" s="39" t="str">
        <f>IF(F140="","",(('MC ANALISIS INTERNO'!$D$56*(($E$29*C140)+'CARGAS DISTRIBUIDAS'!$B$13+'CARGAS CONCENTRADAS'!$D$59))+'CARGAS CONCENTRADAS'!$D$34)*D140)</f>
        <v/>
      </c>
      <c r="M140" s="39" t="str">
        <f>IF(H140="","",'DISEÑO POR SISMO'!$D$34*('DISEÑO ALTERNATIVO'!I140/SUM($I$52:I198)))</f>
        <v/>
      </c>
      <c r="N140" s="39" t="str">
        <f t="shared" si="24"/>
        <v/>
      </c>
      <c r="O140" s="192"/>
    </row>
    <row r="141" spans="1:15" x14ac:dyDescent="0.25">
      <c r="A141" s="40" t="str">
        <f t="shared" si="19"/>
        <v/>
      </c>
      <c r="B141" s="39"/>
      <c r="C141" s="39" t="str">
        <f>IF(B141="","",IF(SUM($B$52:B141)&gt;$C$18,"",C140+B141))</f>
        <v/>
      </c>
      <c r="D141" s="39" t="str">
        <f t="shared" si="20"/>
        <v/>
      </c>
      <c r="E141" s="39" t="str">
        <f t="shared" si="21"/>
        <v/>
      </c>
      <c r="F141" s="40"/>
      <c r="G141" s="39" t="str">
        <f>IF(F141="","",E141*TAN(RADIANS(45-('PROPIEDADES DE LOS SUELOS'!$C$26/2))))</f>
        <v/>
      </c>
      <c r="H141" s="39" t="str">
        <f>IF(F141="","",IF(F141="Geomalla",(1.5*L141)/(DISEÑO!$C$20*TAN(RADIANS('PROPIEDADES DE LOS SUELOS'!$C$26))*DISEÑO!$C$21*'PROPIEDADES DE LOS SUELOS'!$C$24*'DISEÑO ALTERNATIVO'!C141*DISEÑO!$C$25*0.8),(1.5*L141)/(DISEÑO!$C$20*TAN(RADIANS('PROPIEDADES DE LOS SUELOS'!$C$26))*DISEÑO!$C$21*'PROPIEDADES DE LOS SUELOS'!$C$24*'DISEÑO ALTERNATIVO'!C141*DISEÑO!$C$25*0.6)))</f>
        <v/>
      </c>
      <c r="I141" s="39" t="str">
        <f t="shared" si="22"/>
        <v/>
      </c>
      <c r="J141" s="39" t="str">
        <f t="shared" si="23"/>
        <v/>
      </c>
      <c r="K141" s="39" t="str">
        <f>IF(J141="","",'GEOMETRIA DEL MURO'!$F$12)</f>
        <v/>
      </c>
      <c r="L141" s="39" t="str">
        <f>IF(F141="","",(('MC ANALISIS INTERNO'!$D$56*(($E$29*C141)+'CARGAS DISTRIBUIDAS'!$B$13+'CARGAS CONCENTRADAS'!$D$59))+'CARGAS CONCENTRADAS'!$D$34)*D141)</f>
        <v/>
      </c>
      <c r="M141" s="39" t="str">
        <f>IF(H141="","",'DISEÑO POR SISMO'!$D$34*('DISEÑO ALTERNATIVO'!I141/SUM($I$52:I199)))</f>
        <v/>
      </c>
      <c r="N141" s="39" t="str">
        <f t="shared" si="24"/>
        <v/>
      </c>
      <c r="O141" s="192"/>
    </row>
    <row r="142" spans="1:15" x14ac:dyDescent="0.25">
      <c r="A142" s="40" t="str">
        <f t="shared" si="19"/>
        <v/>
      </c>
      <c r="B142" s="39"/>
      <c r="C142" s="39" t="str">
        <f>IF(B142="","",IF(SUM($B$52:B142)&gt;$C$18,"",C141+B142))</f>
        <v/>
      </c>
      <c r="D142" s="39" t="str">
        <f t="shared" si="20"/>
        <v/>
      </c>
      <c r="E142" s="39" t="str">
        <f t="shared" si="21"/>
        <v/>
      </c>
      <c r="F142" s="40"/>
      <c r="G142" s="39" t="str">
        <f>IF(F142="","",E142*TAN(RADIANS(45-('PROPIEDADES DE LOS SUELOS'!$C$26/2))))</f>
        <v/>
      </c>
      <c r="H142" s="39" t="str">
        <f>IF(F142="","",IF(F142="Geomalla",(1.5*L142)/(DISEÑO!$C$20*TAN(RADIANS('PROPIEDADES DE LOS SUELOS'!$C$26))*DISEÑO!$C$21*'PROPIEDADES DE LOS SUELOS'!$C$24*'DISEÑO ALTERNATIVO'!C142*DISEÑO!$C$25*0.8),(1.5*L142)/(DISEÑO!$C$20*TAN(RADIANS('PROPIEDADES DE LOS SUELOS'!$C$26))*DISEÑO!$C$21*'PROPIEDADES DE LOS SUELOS'!$C$24*'DISEÑO ALTERNATIVO'!C142*DISEÑO!$C$25*0.6)))</f>
        <v/>
      </c>
      <c r="I142" s="39" t="str">
        <f t="shared" si="22"/>
        <v/>
      </c>
      <c r="J142" s="39" t="str">
        <f t="shared" si="23"/>
        <v/>
      </c>
      <c r="K142" s="39" t="str">
        <f>IF(J142="","",'GEOMETRIA DEL MURO'!$F$12)</f>
        <v/>
      </c>
      <c r="L142" s="39" t="str">
        <f>IF(F142="","",(('MC ANALISIS INTERNO'!$D$56*(($E$29*C142)+'CARGAS DISTRIBUIDAS'!$B$13+'CARGAS CONCENTRADAS'!$D$59))+'CARGAS CONCENTRADAS'!$D$34)*D142)</f>
        <v/>
      </c>
      <c r="M142" s="39" t="str">
        <f>IF(H142="","",'DISEÑO POR SISMO'!$D$34*('DISEÑO ALTERNATIVO'!I142/SUM($I$52:I200)))</f>
        <v/>
      </c>
      <c r="N142" s="39" t="str">
        <f t="shared" si="24"/>
        <v/>
      </c>
      <c r="O142" s="192"/>
    </row>
    <row r="143" spans="1:15" x14ac:dyDescent="0.25">
      <c r="A143" s="40" t="str">
        <f t="shared" si="19"/>
        <v/>
      </c>
      <c r="B143" s="39"/>
      <c r="C143" s="39" t="str">
        <f>IF(B143="","",IF(SUM($B$52:B143)&gt;$C$18,"",C142+B143))</f>
        <v/>
      </c>
      <c r="D143" s="39" t="str">
        <f t="shared" si="20"/>
        <v/>
      </c>
      <c r="E143" s="39" t="str">
        <f t="shared" si="21"/>
        <v/>
      </c>
      <c r="F143" s="40"/>
      <c r="G143" s="39" t="str">
        <f>IF(F143="","",E143*TAN(RADIANS(45-('PROPIEDADES DE LOS SUELOS'!$C$26/2))))</f>
        <v/>
      </c>
      <c r="H143" s="39" t="str">
        <f>IF(F143="","",IF(F143="Geomalla",(1.5*L143)/(DISEÑO!$C$20*TAN(RADIANS('PROPIEDADES DE LOS SUELOS'!$C$26))*DISEÑO!$C$21*'PROPIEDADES DE LOS SUELOS'!$C$24*'DISEÑO ALTERNATIVO'!C143*DISEÑO!$C$25*0.8),(1.5*L143)/(DISEÑO!$C$20*TAN(RADIANS('PROPIEDADES DE LOS SUELOS'!$C$26))*DISEÑO!$C$21*'PROPIEDADES DE LOS SUELOS'!$C$24*'DISEÑO ALTERNATIVO'!C143*DISEÑO!$C$25*0.6)))</f>
        <v/>
      </c>
      <c r="I143" s="39" t="str">
        <f t="shared" si="22"/>
        <v/>
      </c>
      <c r="J143" s="39" t="str">
        <f t="shared" si="23"/>
        <v/>
      </c>
      <c r="K143" s="39" t="str">
        <f>IF(J143="","",'GEOMETRIA DEL MURO'!$F$12)</f>
        <v/>
      </c>
      <c r="L143" s="39" t="str">
        <f>IF(F143="","",(('MC ANALISIS INTERNO'!$D$56*(($E$29*C143)+'CARGAS DISTRIBUIDAS'!$B$13+'CARGAS CONCENTRADAS'!$D$59))+'CARGAS CONCENTRADAS'!$D$34)*D143)</f>
        <v/>
      </c>
      <c r="M143" s="39" t="str">
        <f>IF(H143="","",'DISEÑO POR SISMO'!$D$34*('DISEÑO ALTERNATIVO'!I143/SUM($I$52:I201)))</f>
        <v/>
      </c>
      <c r="N143" s="39" t="str">
        <f t="shared" si="24"/>
        <v/>
      </c>
      <c r="O143" s="192"/>
    </row>
    <row r="144" spans="1:15" x14ac:dyDescent="0.25">
      <c r="A144" s="40" t="str">
        <f t="shared" si="19"/>
        <v/>
      </c>
      <c r="B144" s="39"/>
      <c r="C144" s="39" t="str">
        <f>IF(B144="","",IF(SUM($B$52:B144)&gt;$C$18,"",C143+B144))</f>
        <v/>
      </c>
      <c r="D144" s="39" t="str">
        <f t="shared" si="20"/>
        <v/>
      </c>
      <c r="E144" s="39" t="str">
        <f t="shared" si="21"/>
        <v/>
      </c>
      <c r="F144" s="40"/>
      <c r="G144" s="39" t="str">
        <f>IF(F144="","",E144*TAN(RADIANS(45-('PROPIEDADES DE LOS SUELOS'!$C$26/2))))</f>
        <v/>
      </c>
      <c r="H144" s="39" t="str">
        <f>IF(F144="","",IF(F144="Geomalla",(1.5*L144)/(DISEÑO!$C$20*TAN(RADIANS('PROPIEDADES DE LOS SUELOS'!$C$26))*DISEÑO!$C$21*'PROPIEDADES DE LOS SUELOS'!$C$24*'DISEÑO ALTERNATIVO'!C144*DISEÑO!$C$25*0.8),(1.5*L144)/(DISEÑO!$C$20*TAN(RADIANS('PROPIEDADES DE LOS SUELOS'!$C$26))*DISEÑO!$C$21*'PROPIEDADES DE LOS SUELOS'!$C$24*'DISEÑO ALTERNATIVO'!C144*DISEÑO!$C$25*0.6)))</f>
        <v/>
      </c>
      <c r="I144" s="39" t="str">
        <f t="shared" si="22"/>
        <v/>
      </c>
      <c r="J144" s="39" t="str">
        <f t="shared" si="23"/>
        <v/>
      </c>
      <c r="K144" s="39" t="str">
        <f>IF(J144="","",'GEOMETRIA DEL MURO'!$F$12)</f>
        <v/>
      </c>
      <c r="L144" s="39" t="str">
        <f>IF(F144="","",(('MC ANALISIS INTERNO'!$D$56*(($E$29*C144)+'CARGAS DISTRIBUIDAS'!$B$13+'CARGAS CONCENTRADAS'!$D$59))+'CARGAS CONCENTRADAS'!$D$34)*D144)</f>
        <v/>
      </c>
      <c r="M144" s="39" t="str">
        <f>IF(H144="","",'DISEÑO POR SISMO'!$D$34*('DISEÑO ALTERNATIVO'!I144/SUM($I$52:I202)))</f>
        <v/>
      </c>
      <c r="N144" s="39" t="str">
        <f t="shared" si="24"/>
        <v/>
      </c>
      <c r="O144" s="192"/>
    </row>
    <row r="145" spans="1:15" x14ac:dyDescent="0.25">
      <c r="A145" s="40" t="str">
        <f t="shared" si="19"/>
        <v/>
      </c>
      <c r="B145" s="39"/>
      <c r="C145" s="39" t="str">
        <f>IF(B145="","",IF(SUM($B$52:B145)&gt;$C$18,"",C144+B145))</f>
        <v/>
      </c>
      <c r="D145" s="39" t="str">
        <f t="shared" si="20"/>
        <v/>
      </c>
      <c r="E145" s="39" t="str">
        <f t="shared" si="21"/>
        <v/>
      </c>
      <c r="F145" s="40"/>
      <c r="G145" s="39" t="str">
        <f>IF(F145="","",E145*TAN(RADIANS(45-('PROPIEDADES DE LOS SUELOS'!$C$26/2))))</f>
        <v/>
      </c>
      <c r="H145" s="39" t="str">
        <f>IF(F145="","",IF(F145="Geomalla",(1.5*L145)/(DISEÑO!$C$20*TAN(RADIANS('PROPIEDADES DE LOS SUELOS'!$C$26))*DISEÑO!$C$21*'PROPIEDADES DE LOS SUELOS'!$C$24*'DISEÑO ALTERNATIVO'!C145*DISEÑO!$C$25*0.8),(1.5*L145)/(DISEÑO!$C$20*TAN(RADIANS('PROPIEDADES DE LOS SUELOS'!$C$26))*DISEÑO!$C$21*'PROPIEDADES DE LOS SUELOS'!$C$24*'DISEÑO ALTERNATIVO'!C145*DISEÑO!$C$25*0.6)))</f>
        <v/>
      </c>
      <c r="I145" s="39" t="str">
        <f t="shared" si="22"/>
        <v/>
      </c>
      <c r="J145" s="39" t="str">
        <f t="shared" si="23"/>
        <v/>
      </c>
      <c r="K145" s="39" t="str">
        <f>IF(J145="","",'GEOMETRIA DEL MURO'!$F$12)</f>
        <v/>
      </c>
      <c r="L145" s="39" t="str">
        <f>IF(F145="","",(('MC ANALISIS INTERNO'!$D$56*(($E$29*C145)+'CARGAS DISTRIBUIDAS'!$B$13+'CARGAS CONCENTRADAS'!$D$59))+'CARGAS CONCENTRADAS'!$D$34)*D145)</f>
        <v/>
      </c>
      <c r="M145" s="39" t="str">
        <f>IF(H145="","",'DISEÑO POR SISMO'!$D$34*('DISEÑO ALTERNATIVO'!I145/SUM($I$52:I203)))</f>
        <v/>
      </c>
      <c r="N145" s="39" t="str">
        <f t="shared" si="24"/>
        <v/>
      </c>
      <c r="O145" s="192"/>
    </row>
    <row r="146" spans="1:15" x14ac:dyDescent="0.25">
      <c r="A146" s="40" t="str">
        <f t="shared" si="19"/>
        <v/>
      </c>
      <c r="B146" s="39"/>
      <c r="C146" s="39" t="str">
        <f>IF(B146="","",IF(SUM($B$52:B146)&gt;$C$18,"",C145+B146))</f>
        <v/>
      </c>
      <c r="D146" s="39" t="str">
        <f t="shared" si="20"/>
        <v/>
      </c>
      <c r="E146" s="39" t="str">
        <f t="shared" si="21"/>
        <v/>
      </c>
      <c r="F146" s="40"/>
      <c r="G146" s="39" t="str">
        <f>IF(F146="","",E146*TAN(RADIANS(45-('PROPIEDADES DE LOS SUELOS'!$C$26/2))))</f>
        <v/>
      </c>
      <c r="H146" s="39" t="str">
        <f>IF(F146="","",IF(F146="Geomalla",(1.5*L146)/(DISEÑO!$C$20*TAN(RADIANS('PROPIEDADES DE LOS SUELOS'!$C$26))*DISEÑO!$C$21*'PROPIEDADES DE LOS SUELOS'!$C$24*'DISEÑO ALTERNATIVO'!C146*DISEÑO!$C$25*0.8),(1.5*L146)/(DISEÑO!$C$20*TAN(RADIANS('PROPIEDADES DE LOS SUELOS'!$C$26))*DISEÑO!$C$21*'PROPIEDADES DE LOS SUELOS'!$C$24*'DISEÑO ALTERNATIVO'!C146*DISEÑO!$C$25*0.6)))</f>
        <v/>
      </c>
      <c r="I146" s="39" t="str">
        <f t="shared" si="22"/>
        <v/>
      </c>
      <c r="J146" s="39" t="str">
        <f t="shared" si="23"/>
        <v/>
      </c>
      <c r="K146" s="39" t="str">
        <f>IF(J146="","",'GEOMETRIA DEL MURO'!$F$12)</f>
        <v/>
      </c>
      <c r="L146" s="39" t="str">
        <f>IF(F146="","",(('MC ANALISIS INTERNO'!$D$56*(($E$29*C146)+'CARGAS DISTRIBUIDAS'!$B$13+'CARGAS CONCENTRADAS'!$D$59))+'CARGAS CONCENTRADAS'!$D$34)*D146)</f>
        <v/>
      </c>
      <c r="M146" s="39" t="str">
        <f>IF(H146="","",'DISEÑO POR SISMO'!$D$34*('DISEÑO ALTERNATIVO'!I146/SUM($I$52:I204)))</f>
        <v/>
      </c>
      <c r="N146" s="39" t="str">
        <f t="shared" si="24"/>
        <v/>
      </c>
      <c r="O146" s="192"/>
    </row>
    <row r="147" spans="1:15" x14ac:dyDescent="0.25">
      <c r="A147" s="40" t="str">
        <f t="shared" si="19"/>
        <v/>
      </c>
      <c r="B147" s="39"/>
      <c r="C147" s="39" t="str">
        <f>IF(B147="","",IF(SUM($B$52:B147)&gt;$C$18,"",C146+B147))</f>
        <v/>
      </c>
      <c r="D147" s="39" t="str">
        <f t="shared" si="20"/>
        <v/>
      </c>
      <c r="E147" s="39" t="str">
        <f t="shared" si="21"/>
        <v/>
      </c>
      <c r="F147" s="40"/>
      <c r="G147" s="39" t="str">
        <f>IF(F147="","",E147*TAN(RADIANS(45-('PROPIEDADES DE LOS SUELOS'!$C$26/2))))</f>
        <v/>
      </c>
      <c r="H147" s="39" t="str">
        <f>IF(F147="","",IF(F147="Geomalla",(1.5*L147)/(DISEÑO!$C$20*TAN(RADIANS('PROPIEDADES DE LOS SUELOS'!$C$26))*DISEÑO!$C$21*'PROPIEDADES DE LOS SUELOS'!$C$24*'DISEÑO ALTERNATIVO'!C147*DISEÑO!$C$25*0.8),(1.5*L147)/(DISEÑO!$C$20*TAN(RADIANS('PROPIEDADES DE LOS SUELOS'!$C$26))*DISEÑO!$C$21*'PROPIEDADES DE LOS SUELOS'!$C$24*'DISEÑO ALTERNATIVO'!C147*DISEÑO!$C$25*0.6)))</f>
        <v/>
      </c>
      <c r="I147" s="39" t="str">
        <f t="shared" si="22"/>
        <v/>
      </c>
      <c r="J147" s="39" t="str">
        <f t="shared" si="23"/>
        <v/>
      </c>
      <c r="K147" s="39" t="str">
        <f>IF(J147="","",'GEOMETRIA DEL MURO'!$F$12)</f>
        <v/>
      </c>
      <c r="L147" s="39" t="str">
        <f>IF(F147="","",(('MC ANALISIS INTERNO'!$D$56*(($E$29*C147)+'CARGAS DISTRIBUIDAS'!$B$13+'CARGAS CONCENTRADAS'!$D$59))+'CARGAS CONCENTRADAS'!$D$34)*D147)</f>
        <v/>
      </c>
      <c r="M147" s="39" t="str">
        <f>IF(H147="","",'DISEÑO POR SISMO'!$D$34*('DISEÑO ALTERNATIVO'!I147/SUM($I$52:I205)))</f>
        <v/>
      </c>
      <c r="N147" s="39" t="str">
        <f t="shared" si="24"/>
        <v/>
      </c>
      <c r="O147" s="192"/>
    </row>
    <row r="148" spans="1:15" x14ac:dyDescent="0.25">
      <c r="A148" s="40" t="str">
        <f t="shared" si="19"/>
        <v/>
      </c>
      <c r="B148" s="39"/>
      <c r="C148" s="39" t="str">
        <f>IF(B148="","",IF(SUM($B$52:B148)&gt;$C$18,"",C147+B148))</f>
        <v/>
      </c>
      <c r="D148" s="39" t="str">
        <f t="shared" si="20"/>
        <v/>
      </c>
      <c r="E148" s="39" t="str">
        <f t="shared" si="21"/>
        <v/>
      </c>
      <c r="F148" s="40"/>
      <c r="G148" s="39" t="str">
        <f>IF(F148="","",E148*TAN(RADIANS(45-('PROPIEDADES DE LOS SUELOS'!$C$26/2))))</f>
        <v/>
      </c>
      <c r="H148" s="39" t="str">
        <f>IF(F148="","",IF(F148="Geomalla",(1.5*L148)/(DISEÑO!$C$20*TAN(RADIANS('PROPIEDADES DE LOS SUELOS'!$C$26))*DISEÑO!$C$21*'PROPIEDADES DE LOS SUELOS'!$C$24*'DISEÑO ALTERNATIVO'!C148*DISEÑO!$C$25*0.8),(1.5*L148)/(DISEÑO!$C$20*TAN(RADIANS('PROPIEDADES DE LOS SUELOS'!$C$26))*DISEÑO!$C$21*'PROPIEDADES DE LOS SUELOS'!$C$24*'DISEÑO ALTERNATIVO'!C148*DISEÑO!$C$25*0.6)))</f>
        <v/>
      </c>
      <c r="I148" s="39" t="str">
        <f t="shared" si="22"/>
        <v/>
      </c>
      <c r="J148" s="39" t="str">
        <f t="shared" si="23"/>
        <v/>
      </c>
      <c r="K148" s="39" t="str">
        <f>IF(J148="","",'GEOMETRIA DEL MURO'!$F$12)</f>
        <v/>
      </c>
      <c r="L148" s="39" t="str">
        <f>IF(F148="","",(('MC ANALISIS INTERNO'!$D$56*(($E$29*C148)+'CARGAS DISTRIBUIDAS'!$B$13+'CARGAS CONCENTRADAS'!$D$59))+'CARGAS CONCENTRADAS'!$D$34)*D148)</f>
        <v/>
      </c>
      <c r="M148" s="39" t="str">
        <f>IF(H148="","",'DISEÑO POR SISMO'!$D$34*('DISEÑO ALTERNATIVO'!I148/SUM($I$52:I206)))</f>
        <v/>
      </c>
      <c r="N148" s="39" t="str">
        <f t="shared" si="24"/>
        <v/>
      </c>
      <c r="O148" s="192"/>
    </row>
    <row r="149" spans="1:15" x14ac:dyDescent="0.25">
      <c r="A149" s="40" t="str">
        <f t="shared" si="19"/>
        <v/>
      </c>
      <c r="B149" s="39"/>
      <c r="C149" s="39" t="str">
        <f>IF(B149="","",IF(SUM($B$52:B149)&gt;$C$18,"",C148+B149))</f>
        <v/>
      </c>
      <c r="D149" s="39" t="str">
        <f t="shared" si="20"/>
        <v/>
      </c>
      <c r="E149" s="39" t="str">
        <f t="shared" si="21"/>
        <v/>
      </c>
      <c r="F149" s="40"/>
      <c r="G149" s="39" t="str">
        <f>IF(F149="","",E149*TAN(RADIANS(45-('PROPIEDADES DE LOS SUELOS'!$C$26/2))))</f>
        <v/>
      </c>
      <c r="H149" s="39" t="str">
        <f>IF(F149="","",IF(F149="Geomalla",(1.5*L149)/(DISEÑO!$C$20*TAN(RADIANS('PROPIEDADES DE LOS SUELOS'!$C$26))*DISEÑO!$C$21*'PROPIEDADES DE LOS SUELOS'!$C$24*'DISEÑO ALTERNATIVO'!C149*DISEÑO!$C$25*0.8),(1.5*L149)/(DISEÑO!$C$20*TAN(RADIANS('PROPIEDADES DE LOS SUELOS'!$C$26))*DISEÑO!$C$21*'PROPIEDADES DE LOS SUELOS'!$C$24*'DISEÑO ALTERNATIVO'!C149*DISEÑO!$C$25*0.6)))</f>
        <v/>
      </c>
      <c r="I149" s="39" t="str">
        <f t="shared" si="22"/>
        <v/>
      </c>
      <c r="J149" s="39" t="str">
        <f t="shared" si="23"/>
        <v/>
      </c>
      <c r="K149" s="39" t="str">
        <f>IF(J149="","",'GEOMETRIA DEL MURO'!$F$12)</f>
        <v/>
      </c>
      <c r="L149" s="39" t="str">
        <f>IF(F149="","",(('MC ANALISIS INTERNO'!$D$56*(($E$29*C149)+'CARGAS DISTRIBUIDAS'!$B$13+'CARGAS CONCENTRADAS'!$D$59))+'CARGAS CONCENTRADAS'!$D$34)*D149)</f>
        <v/>
      </c>
      <c r="M149" s="39" t="str">
        <f>IF(H149="","",'DISEÑO POR SISMO'!$D$34*('DISEÑO ALTERNATIVO'!I149/SUM($I$52:I207)))</f>
        <v/>
      </c>
      <c r="N149" s="39" t="str">
        <f t="shared" si="24"/>
        <v/>
      </c>
      <c r="O149" s="192"/>
    </row>
    <row r="150" spans="1:15" x14ac:dyDescent="0.25">
      <c r="A150" s="40" t="str">
        <f t="shared" si="19"/>
        <v/>
      </c>
      <c r="B150" s="39"/>
      <c r="C150" s="39" t="str">
        <f>IF(B150="","",IF(SUM($B$52:B150)&gt;$C$18,"",C149+B150))</f>
        <v/>
      </c>
      <c r="D150" s="39" t="str">
        <f t="shared" si="20"/>
        <v/>
      </c>
      <c r="E150" s="39" t="str">
        <f t="shared" si="21"/>
        <v/>
      </c>
      <c r="F150" s="40"/>
      <c r="G150" s="39" t="str">
        <f>IF(F150="","",E150*TAN(RADIANS(45-('PROPIEDADES DE LOS SUELOS'!$C$26/2))))</f>
        <v/>
      </c>
      <c r="H150" s="39" t="str">
        <f>IF(F150="","",IF(F150="Geomalla",(1.5*L150)/(DISEÑO!$C$20*TAN(RADIANS('PROPIEDADES DE LOS SUELOS'!$C$26))*DISEÑO!$C$21*'PROPIEDADES DE LOS SUELOS'!$C$24*'DISEÑO ALTERNATIVO'!C150*DISEÑO!$C$25*0.8),(1.5*L150)/(DISEÑO!$C$20*TAN(RADIANS('PROPIEDADES DE LOS SUELOS'!$C$26))*DISEÑO!$C$21*'PROPIEDADES DE LOS SUELOS'!$C$24*'DISEÑO ALTERNATIVO'!C150*DISEÑO!$C$25*0.6)))</f>
        <v/>
      </c>
      <c r="I150" s="39" t="str">
        <f t="shared" si="22"/>
        <v/>
      </c>
      <c r="J150" s="39" t="str">
        <f t="shared" si="23"/>
        <v/>
      </c>
      <c r="K150" s="39" t="str">
        <f>IF(J150="","",'GEOMETRIA DEL MURO'!$F$12)</f>
        <v/>
      </c>
      <c r="L150" s="39" t="str">
        <f>IF(F150="","",(('MC ANALISIS INTERNO'!$D$56*(($E$29*C150)+'CARGAS DISTRIBUIDAS'!$B$13+'CARGAS CONCENTRADAS'!$D$59))+'CARGAS CONCENTRADAS'!$D$34)*D150)</f>
        <v/>
      </c>
      <c r="M150" s="39" t="str">
        <f>IF(H150="","",'DISEÑO POR SISMO'!$D$34*('DISEÑO ALTERNATIVO'!I150/SUM($I$52:I208)))</f>
        <v/>
      </c>
      <c r="N150" s="39" t="str">
        <f t="shared" si="24"/>
        <v/>
      </c>
      <c r="O150" s="192"/>
    </row>
    <row r="151" spans="1:15" x14ac:dyDescent="0.25">
      <c r="A151" s="40" t="str">
        <f t="shared" si="19"/>
        <v/>
      </c>
      <c r="B151" s="39"/>
      <c r="C151" s="39" t="str">
        <f>IF(B151="","",IF(SUM($B$52:B151)&gt;$C$18,"",C150+B151))</f>
        <v/>
      </c>
      <c r="D151" s="39" t="str">
        <f t="shared" si="20"/>
        <v/>
      </c>
      <c r="E151" s="39" t="str">
        <f t="shared" si="21"/>
        <v/>
      </c>
      <c r="F151" s="40"/>
      <c r="G151" s="39" t="str">
        <f>IF(F151="","",E151*TAN(RADIANS(45-('PROPIEDADES DE LOS SUELOS'!$C$26/2))))</f>
        <v/>
      </c>
      <c r="H151" s="39" t="str">
        <f>IF(F151="","",IF(F151="Geomalla",(1.5*L151)/(DISEÑO!$C$20*TAN(RADIANS('PROPIEDADES DE LOS SUELOS'!$C$26))*DISEÑO!$C$21*'PROPIEDADES DE LOS SUELOS'!$C$24*'DISEÑO ALTERNATIVO'!C151*DISEÑO!$C$25*0.8),(1.5*L151)/(DISEÑO!$C$20*TAN(RADIANS('PROPIEDADES DE LOS SUELOS'!$C$26))*DISEÑO!$C$21*'PROPIEDADES DE LOS SUELOS'!$C$24*'DISEÑO ALTERNATIVO'!C151*DISEÑO!$C$25*0.6)))</f>
        <v/>
      </c>
      <c r="I151" s="39" t="str">
        <f t="shared" si="22"/>
        <v/>
      </c>
      <c r="J151" s="39" t="str">
        <f t="shared" si="23"/>
        <v/>
      </c>
      <c r="K151" s="39" t="str">
        <f>IF(J151="","",'GEOMETRIA DEL MURO'!$F$12)</f>
        <v/>
      </c>
      <c r="L151" s="39" t="str">
        <f>IF(F151="","",(('MC ANALISIS INTERNO'!$D$56*(($E$29*C151)+'CARGAS DISTRIBUIDAS'!$B$13+'CARGAS CONCENTRADAS'!$D$59))+'CARGAS CONCENTRADAS'!$D$34)*D151)</f>
        <v/>
      </c>
      <c r="M151" s="39" t="str">
        <f>IF(H151="","",'DISEÑO POR SISMO'!$D$34*('DISEÑO ALTERNATIVO'!I151/SUM($I$52:I209)))</f>
        <v/>
      </c>
      <c r="N151" s="39" t="str">
        <f t="shared" si="24"/>
        <v/>
      </c>
      <c r="O151" s="192"/>
    </row>
    <row r="152" spans="1:15" x14ac:dyDescent="0.25">
      <c r="A152" s="40" t="str">
        <f t="shared" si="19"/>
        <v/>
      </c>
      <c r="B152" s="39"/>
      <c r="C152" s="39" t="str">
        <f>IF(B152="","",IF(SUM($B$52:B152)&gt;$C$18,"",C151+B152))</f>
        <v/>
      </c>
      <c r="D152" s="39" t="str">
        <f t="shared" si="20"/>
        <v/>
      </c>
      <c r="E152" s="39" t="str">
        <f t="shared" si="21"/>
        <v/>
      </c>
      <c r="F152" s="40"/>
      <c r="G152" s="39" t="str">
        <f>IF(F152="","",E152*TAN(RADIANS(45-('PROPIEDADES DE LOS SUELOS'!$C$26/2))))</f>
        <v/>
      </c>
      <c r="H152" s="39" t="str">
        <f>IF(F152="","",IF(F152="Geomalla",(1.5*L152)/(DISEÑO!$C$20*TAN(RADIANS('PROPIEDADES DE LOS SUELOS'!$C$26))*DISEÑO!$C$21*'PROPIEDADES DE LOS SUELOS'!$C$24*'DISEÑO ALTERNATIVO'!C152*DISEÑO!$C$25*0.8),(1.5*L152)/(DISEÑO!$C$20*TAN(RADIANS('PROPIEDADES DE LOS SUELOS'!$C$26))*DISEÑO!$C$21*'PROPIEDADES DE LOS SUELOS'!$C$24*'DISEÑO ALTERNATIVO'!C152*DISEÑO!$C$25*0.6)))</f>
        <v/>
      </c>
      <c r="I152" s="39" t="str">
        <f t="shared" si="22"/>
        <v/>
      </c>
      <c r="J152" s="39" t="str">
        <f t="shared" si="23"/>
        <v/>
      </c>
      <c r="K152" s="39" t="str">
        <f>IF(J152="","",'GEOMETRIA DEL MURO'!$F$12)</f>
        <v/>
      </c>
      <c r="L152" s="39" t="str">
        <f>IF(F152="","",(('MC ANALISIS INTERNO'!$D$56*(($E$29*C152)+'CARGAS DISTRIBUIDAS'!$B$13+'CARGAS CONCENTRADAS'!$D$59))+'CARGAS CONCENTRADAS'!$D$34)*D152)</f>
        <v/>
      </c>
      <c r="M152" s="39" t="str">
        <f>IF(H152="","",'DISEÑO POR SISMO'!$D$34*('DISEÑO ALTERNATIVO'!I152/SUM($I$52:I210)))</f>
        <v/>
      </c>
      <c r="N152" s="39" t="str">
        <f t="shared" si="24"/>
        <v/>
      </c>
      <c r="O152" s="192"/>
    </row>
    <row r="153" spans="1:15" x14ac:dyDescent="0.25">
      <c r="A153" s="40" t="str">
        <f t="shared" si="19"/>
        <v/>
      </c>
      <c r="B153" s="39"/>
      <c r="C153" s="39" t="str">
        <f>IF(B153="","",IF(SUM($B$52:B153)&gt;$C$18,"",C152+B153))</f>
        <v/>
      </c>
      <c r="D153" s="39" t="str">
        <f t="shared" si="20"/>
        <v/>
      </c>
      <c r="E153" s="39" t="str">
        <f t="shared" si="21"/>
        <v/>
      </c>
      <c r="F153" s="40"/>
      <c r="G153" s="39" t="str">
        <f>IF(F153="","",E153*TAN(RADIANS(45-('PROPIEDADES DE LOS SUELOS'!$C$26/2))))</f>
        <v/>
      </c>
      <c r="H153" s="39" t="str">
        <f>IF(F153="","",IF(F153="Geomalla",(1.5*L153)/(DISEÑO!$C$20*TAN(RADIANS('PROPIEDADES DE LOS SUELOS'!$C$26))*DISEÑO!$C$21*'PROPIEDADES DE LOS SUELOS'!$C$24*'DISEÑO ALTERNATIVO'!C153*DISEÑO!$C$25*0.8),(1.5*L153)/(DISEÑO!$C$20*TAN(RADIANS('PROPIEDADES DE LOS SUELOS'!$C$26))*DISEÑO!$C$21*'PROPIEDADES DE LOS SUELOS'!$C$24*'DISEÑO ALTERNATIVO'!C153*DISEÑO!$C$25*0.6)))</f>
        <v/>
      </c>
      <c r="I153" s="39" t="str">
        <f t="shared" si="22"/>
        <v/>
      </c>
      <c r="J153" s="39" t="str">
        <f t="shared" si="23"/>
        <v/>
      </c>
      <c r="K153" s="39" t="str">
        <f>IF(J153="","",'GEOMETRIA DEL MURO'!$F$12)</f>
        <v/>
      </c>
      <c r="L153" s="39" t="str">
        <f>IF(F153="","",(('MC ANALISIS INTERNO'!$D$56*(($E$29*C153)+'CARGAS DISTRIBUIDAS'!$B$13+'CARGAS CONCENTRADAS'!$D$59))+'CARGAS CONCENTRADAS'!$D$34)*D153)</f>
        <v/>
      </c>
      <c r="M153" s="39" t="str">
        <f>IF(H153="","",'DISEÑO POR SISMO'!$D$34*('DISEÑO ALTERNATIVO'!I153/SUM($I$52:I211)))</f>
        <v/>
      </c>
      <c r="N153" s="39" t="str">
        <f t="shared" si="24"/>
        <v/>
      </c>
      <c r="O153" s="192"/>
    </row>
    <row r="154" spans="1:15" x14ac:dyDescent="0.25">
      <c r="A154" s="40" t="str">
        <f t="shared" si="19"/>
        <v/>
      </c>
      <c r="B154" s="39"/>
      <c r="C154" s="39" t="str">
        <f>IF(B154="","",IF(SUM($B$52:B154)&gt;$C$18,"",C153+B154))</f>
        <v/>
      </c>
      <c r="D154" s="39" t="str">
        <f t="shared" si="20"/>
        <v/>
      </c>
      <c r="E154" s="39" t="str">
        <f t="shared" si="21"/>
        <v/>
      </c>
      <c r="F154" s="40"/>
      <c r="G154" s="39" t="str">
        <f>IF(F154="","",E154*TAN(RADIANS(45-('PROPIEDADES DE LOS SUELOS'!$C$26/2))))</f>
        <v/>
      </c>
      <c r="H154" s="39" t="str">
        <f>IF(F154="","",IF(F154="Geomalla",(1.5*L154)/(DISEÑO!$C$20*TAN(RADIANS('PROPIEDADES DE LOS SUELOS'!$C$26))*DISEÑO!$C$21*'PROPIEDADES DE LOS SUELOS'!$C$24*'DISEÑO ALTERNATIVO'!C154*DISEÑO!$C$25*0.8),(1.5*L154)/(DISEÑO!$C$20*TAN(RADIANS('PROPIEDADES DE LOS SUELOS'!$C$26))*DISEÑO!$C$21*'PROPIEDADES DE LOS SUELOS'!$C$24*'DISEÑO ALTERNATIVO'!C154*DISEÑO!$C$25*0.6)))</f>
        <v/>
      </c>
      <c r="I154" s="39" t="str">
        <f t="shared" si="22"/>
        <v/>
      </c>
      <c r="J154" s="39" t="str">
        <f t="shared" si="23"/>
        <v/>
      </c>
      <c r="K154" s="39" t="str">
        <f>IF(J154="","",'GEOMETRIA DEL MURO'!$F$12)</f>
        <v/>
      </c>
      <c r="L154" s="39" t="str">
        <f>IF(F154="","",(('MC ANALISIS INTERNO'!$D$56*(($E$29*C154)+'CARGAS DISTRIBUIDAS'!$B$13+'CARGAS CONCENTRADAS'!$D$59))+'CARGAS CONCENTRADAS'!$D$34)*D154)</f>
        <v/>
      </c>
      <c r="M154" s="39" t="str">
        <f>IF(H154="","",'DISEÑO POR SISMO'!$D$34*('DISEÑO ALTERNATIVO'!I154/SUM($I$52:I212)))</f>
        <v/>
      </c>
      <c r="N154" s="39" t="str">
        <f t="shared" si="24"/>
        <v/>
      </c>
      <c r="O154" s="192"/>
    </row>
    <row r="155" spans="1:15" x14ac:dyDescent="0.25">
      <c r="A155" s="40" t="str">
        <f t="shared" si="19"/>
        <v/>
      </c>
      <c r="B155" s="39"/>
      <c r="C155" s="39" t="str">
        <f>IF(B155="","",IF(SUM($B$52:B155)&gt;$C$18,"",C154+B155))</f>
        <v/>
      </c>
      <c r="D155" s="39" t="str">
        <f t="shared" si="20"/>
        <v/>
      </c>
      <c r="E155" s="39" t="str">
        <f t="shared" si="21"/>
        <v/>
      </c>
      <c r="F155" s="40"/>
      <c r="G155" s="39" t="str">
        <f>IF(F155="","",E155*TAN(RADIANS(45-('PROPIEDADES DE LOS SUELOS'!$C$26/2))))</f>
        <v/>
      </c>
      <c r="H155" s="39" t="str">
        <f>IF(F155="","",IF(F155="Geomalla",(1.5*L155)/(DISEÑO!$C$20*TAN(RADIANS('PROPIEDADES DE LOS SUELOS'!$C$26))*DISEÑO!$C$21*'PROPIEDADES DE LOS SUELOS'!$C$24*'DISEÑO ALTERNATIVO'!C155*DISEÑO!$C$25*0.8),(1.5*L155)/(DISEÑO!$C$20*TAN(RADIANS('PROPIEDADES DE LOS SUELOS'!$C$26))*DISEÑO!$C$21*'PROPIEDADES DE LOS SUELOS'!$C$24*'DISEÑO ALTERNATIVO'!C155*DISEÑO!$C$25*0.6)))</f>
        <v/>
      </c>
      <c r="I155" s="39" t="str">
        <f t="shared" si="22"/>
        <v/>
      </c>
      <c r="J155" s="39" t="str">
        <f t="shared" si="23"/>
        <v/>
      </c>
      <c r="K155" s="39" t="str">
        <f>IF(J155="","",'GEOMETRIA DEL MURO'!$F$12)</f>
        <v/>
      </c>
      <c r="L155" s="39" t="str">
        <f>IF(F155="","",(('MC ANALISIS INTERNO'!$D$56*(($E$29*C155)+'CARGAS DISTRIBUIDAS'!$B$13+'CARGAS CONCENTRADAS'!$D$59))+'CARGAS CONCENTRADAS'!$D$34)*D155)</f>
        <v/>
      </c>
      <c r="M155" s="39" t="str">
        <f>IF(H155="","",'DISEÑO POR SISMO'!$D$34*('DISEÑO ALTERNATIVO'!I155/SUM($I$52:I213)))</f>
        <v/>
      </c>
      <c r="N155" s="39" t="str">
        <f t="shared" si="24"/>
        <v/>
      </c>
      <c r="O155" s="192"/>
    </row>
    <row r="156" spans="1:15" x14ac:dyDescent="0.25">
      <c r="A156" s="40" t="str">
        <f t="shared" si="19"/>
        <v/>
      </c>
      <c r="B156" s="39"/>
      <c r="C156" s="39" t="str">
        <f>IF(B156="","",IF(SUM($B$52:B156)&gt;$C$18,"",C155+B156))</f>
        <v/>
      </c>
      <c r="D156" s="39" t="str">
        <f t="shared" si="20"/>
        <v/>
      </c>
      <c r="E156" s="39" t="str">
        <f t="shared" si="21"/>
        <v/>
      </c>
      <c r="F156" s="40"/>
      <c r="G156" s="39" t="str">
        <f>IF(F156="","",E156*TAN(RADIANS(45-('PROPIEDADES DE LOS SUELOS'!$C$26/2))))</f>
        <v/>
      </c>
      <c r="H156" s="39" t="str">
        <f>IF(F156="","",IF(F156="Geomalla",(1.5*L156)/(DISEÑO!$C$20*TAN(RADIANS('PROPIEDADES DE LOS SUELOS'!$C$26))*DISEÑO!$C$21*'PROPIEDADES DE LOS SUELOS'!$C$24*'DISEÑO ALTERNATIVO'!C156*DISEÑO!$C$25*0.8),(1.5*L156)/(DISEÑO!$C$20*TAN(RADIANS('PROPIEDADES DE LOS SUELOS'!$C$26))*DISEÑO!$C$21*'PROPIEDADES DE LOS SUELOS'!$C$24*'DISEÑO ALTERNATIVO'!C156*DISEÑO!$C$25*0.6)))</f>
        <v/>
      </c>
      <c r="I156" s="39" t="str">
        <f t="shared" si="22"/>
        <v/>
      </c>
      <c r="J156" s="39" t="str">
        <f t="shared" si="23"/>
        <v/>
      </c>
      <c r="K156" s="39" t="str">
        <f>IF(J156="","",'GEOMETRIA DEL MURO'!$F$12)</f>
        <v/>
      </c>
      <c r="L156" s="39" t="str">
        <f>IF(F156="","",(('MC ANALISIS INTERNO'!$D$56*(($E$29*C156)+'CARGAS DISTRIBUIDAS'!$B$13+'CARGAS CONCENTRADAS'!$D$59))+'CARGAS CONCENTRADAS'!$D$34)*D156)</f>
        <v/>
      </c>
      <c r="M156" s="39" t="str">
        <f>IF(H156="","",'DISEÑO POR SISMO'!$D$34*('DISEÑO ALTERNATIVO'!I156/SUM($I$52:I214)))</f>
        <v/>
      </c>
      <c r="N156" s="39" t="str">
        <f t="shared" si="24"/>
        <v/>
      </c>
      <c r="O156" s="192"/>
    </row>
    <row r="157" spans="1:15" x14ac:dyDescent="0.25">
      <c r="A157" s="40" t="str">
        <f t="shared" si="19"/>
        <v/>
      </c>
      <c r="B157" s="39"/>
      <c r="C157" s="39" t="str">
        <f>IF(B157="","",IF(SUM($B$52:B157)&gt;$C$18,"",C156+B157))</f>
        <v/>
      </c>
      <c r="D157" s="39" t="str">
        <f t="shared" si="20"/>
        <v/>
      </c>
      <c r="E157" s="39" t="str">
        <f t="shared" si="21"/>
        <v/>
      </c>
      <c r="F157" s="40"/>
      <c r="G157" s="39" t="str">
        <f>IF(F157="","",E157*TAN(RADIANS(45-('PROPIEDADES DE LOS SUELOS'!$C$26/2))))</f>
        <v/>
      </c>
      <c r="H157" s="39" t="str">
        <f>IF(F157="","",IF(F157="Geomalla",(1.5*L157)/(DISEÑO!$C$20*TAN(RADIANS('PROPIEDADES DE LOS SUELOS'!$C$26))*DISEÑO!$C$21*'PROPIEDADES DE LOS SUELOS'!$C$24*'DISEÑO ALTERNATIVO'!C157*DISEÑO!$C$25*0.8),(1.5*L157)/(DISEÑO!$C$20*TAN(RADIANS('PROPIEDADES DE LOS SUELOS'!$C$26))*DISEÑO!$C$21*'PROPIEDADES DE LOS SUELOS'!$C$24*'DISEÑO ALTERNATIVO'!C157*DISEÑO!$C$25*0.6)))</f>
        <v/>
      </c>
      <c r="I157" s="39" t="str">
        <f t="shared" si="22"/>
        <v/>
      </c>
      <c r="J157" s="39" t="str">
        <f t="shared" si="23"/>
        <v/>
      </c>
      <c r="K157" s="39" t="str">
        <f>IF(J157="","",'GEOMETRIA DEL MURO'!$F$12)</f>
        <v/>
      </c>
      <c r="L157" s="39" t="str">
        <f>IF(F157="","",(('MC ANALISIS INTERNO'!$D$56*(($E$29*C157)+'CARGAS DISTRIBUIDAS'!$B$13+'CARGAS CONCENTRADAS'!$D$59))+'CARGAS CONCENTRADAS'!$D$34)*D157)</f>
        <v/>
      </c>
      <c r="M157" s="39" t="str">
        <f>IF(H157="","",'DISEÑO POR SISMO'!$D$34*('DISEÑO ALTERNATIVO'!I157/SUM($I$52:I215)))</f>
        <v/>
      </c>
      <c r="N157" s="39" t="str">
        <f t="shared" si="24"/>
        <v/>
      </c>
      <c r="O157" s="192"/>
    </row>
    <row r="158" spans="1:15" x14ac:dyDescent="0.25">
      <c r="A158" s="40" t="str">
        <f t="shared" si="19"/>
        <v/>
      </c>
      <c r="B158" s="39"/>
      <c r="C158" s="39" t="str">
        <f>IF(B158="","",IF(SUM($B$52:B158)&gt;$C$18,"",C157+B158))</f>
        <v/>
      </c>
      <c r="D158" s="39" t="str">
        <f t="shared" si="20"/>
        <v/>
      </c>
      <c r="E158" s="39" t="str">
        <f t="shared" si="21"/>
        <v/>
      </c>
      <c r="F158" s="40"/>
      <c r="G158" s="39" t="str">
        <f>IF(F158="","",E158*TAN(RADIANS(45-('PROPIEDADES DE LOS SUELOS'!$C$26/2))))</f>
        <v/>
      </c>
      <c r="H158" s="39" t="str">
        <f>IF(F158="","",IF(F158="Geomalla",(1.5*L158)/(DISEÑO!$C$20*TAN(RADIANS('PROPIEDADES DE LOS SUELOS'!$C$26))*DISEÑO!$C$21*'PROPIEDADES DE LOS SUELOS'!$C$24*'DISEÑO ALTERNATIVO'!C158*DISEÑO!$C$25*0.8),(1.5*L158)/(DISEÑO!$C$20*TAN(RADIANS('PROPIEDADES DE LOS SUELOS'!$C$26))*DISEÑO!$C$21*'PROPIEDADES DE LOS SUELOS'!$C$24*'DISEÑO ALTERNATIVO'!C158*DISEÑO!$C$25*0.6)))</f>
        <v/>
      </c>
      <c r="I158" s="39" t="str">
        <f t="shared" si="22"/>
        <v/>
      </c>
      <c r="J158" s="39" t="str">
        <f t="shared" si="23"/>
        <v/>
      </c>
      <c r="K158" s="39" t="str">
        <f>IF(J158="","",'GEOMETRIA DEL MURO'!$F$12)</f>
        <v/>
      </c>
      <c r="L158" s="39" t="str">
        <f>IF(F158="","",(('MC ANALISIS INTERNO'!$D$56*(($E$29*C158)+'CARGAS DISTRIBUIDAS'!$B$13+'CARGAS CONCENTRADAS'!$D$59))+'CARGAS CONCENTRADAS'!$D$34)*D158)</f>
        <v/>
      </c>
      <c r="M158" s="39" t="str">
        <f>IF(H158="","",'DISEÑO POR SISMO'!$D$34*('DISEÑO ALTERNATIVO'!I158/SUM($I$52:I216)))</f>
        <v/>
      </c>
      <c r="N158" s="39" t="str">
        <f t="shared" si="24"/>
        <v/>
      </c>
      <c r="O158" s="192"/>
    </row>
    <row r="159" spans="1:15" x14ac:dyDescent="0.25">
      <c r="A159" s="40" t="str">
        <f t="shared" si="19"/>
        <v/>
      </c>
      <c r="B159" s="39"/>
      <c r="C159" s="39" t="str">
        <f>IF(B159="","",IF(SUM($B$52:B159)&gt;$C$18,"",C158+B159))</f>
        <v/>
      </c>
      <c r="D159" s="39" t="str">
        <f t="shared" si="20"/>
        <v/>
      </c>
      <c r="E159" s="39" t="str">
        <f t="shared" si="21"/>
        <v/>
      </c>
      <c r="F159" s="40"/>
      <c r="G159" s="39" t="str">
        <f>IF(F159="","",E159*TAN(RADIANS(45-('PROPIEDADES DE LOS SUELOS'!$C$26/2))))</f>
        <v/>
      </c>
      <c r="H159" s="39" t="str">
        <f>IF(F159="","",IF(F159="Geomalla",(1.5*L159)/(DISEÑO!$C$20*TAN(RADIANS('PROPIEDADES DE LOS SUELOS'!$C$26))*DISEÑO!$C$21*'PROPIEDADES DE LOS SUELOS'!$C$24*'DISEÑO ALTERNATIVO'!C159*DISEÑO!$C$25*0.8),(1.5*L159)/(DISEÑO!$C$20*TAN(RADIANS('PROPIEDADES DE LOS SUELOS'!$C$26))*DISEÑO!$C$21*'PROPIEDADES DE LOS SUELOS'!$C$24*'DISEÑO ALTERNATIVO'!C159*DISEÑO!$C$25*0.6)))</f>
        <v/>
      </c>
      <c r="I159" s="39" t="str">
        <f t="shared" si="22"/>
        <v/>
      </c>
      <c r="J159" s="39" t="str">
        <f t="shared" si="23"/>
        <v/>
      </c>
      <c r="K159" s="39" t="str">
        <f>IF(J159="","",'GEOMETRIA DEL MURO'!$F$12)</f>
        <v/>
      </c>
      <c r="L159" s="39" t="str">
        <f>IF(F159="","",(('MC ANALISIS INTERNO'!$D$56*(($E$29*C159)+'CARGAS DISTRIBUIDAS'!$B$13+'CARGAS CONCENTRADAS'!$D$59))+'CARGAS CONCENTRADAS'!$D$34)*D159)</f>
        <v/>
      </c>
      <c r="M159" s="39" t="str">
        <f>IF(H159="","",'DISEÑO POR SISMO'!$D$34*('DISEÑO ALTERNATIVO'!I159/SUM($I$52:I217)))</f>
        <v/>
      </c>
      <c r="N159" s="39" t="str">
        <f t="shared" si="24"/>
        <v/>
      </c>
      <c r="O159" s="192"/>
    </row>
    <row r="160" spans="1:15" x14ac:dyDescent="0.25">
      <c r="A160" s="40" t="str">
        <f t="shared" si="19"/>
        <v/>
      </c>
      <c r="B160" s="39"/>
      <c r="C160" s="39" t="str">
        <f>IF(B160="","",IF(SUM($B$52:B160)&gt;$C$18,"",C159+B160))</f>
        <v/>
      </c>
      <c r="D160" s="39" t="str">
        <f t="shared" si="20"/>
        <v/>
      </c>
      <c r="E160" s="39" t="str">
        <f t="shared" si="21"/>
        <v/>
      </c>
      <c r="F160" s="40"/>
      <c r="G160" s="39" t="str">
        <f>IF(F160="","",E160*TAN(RADIANS(45-('PROPIEDADES DE LOS SUELOS'!$C$26/2))))</f>
        <v/>
      </c>
      <c r="H160" s="39" t="str">
        <f>IF(F160="","",IF(F160="Geomalla",(1.5*L160)/(DISEÑO!$C$20*TAN(RADIANS('PROPIEDADES DE LOS SUELOS'!$C$26))*DISEÑO!$C$21*'PROPIEDADES DE LOS SUELOS'!$C$24*'DISEÑO ALTERNATIVO'!C160*DISEÑO!$C$25*0.8),(1.5*L160)/(DISEÑO!$C$20*TAN(RADIANS('PROPIEDADES DE LOS SUELOS'!$C$26))*DISEÑO!$C$21*'PROPIEDADES DE LOS SUELOS'!$C$24*'DISEÑO ALTERNATIVO'!C160*DISEÑO!$C$25*0.6)))</f>
        <v/>
      </c>
      <c r="I160" s="39" t="str">
        <f t="shared" si="22"/>
        <v/>
      </c>
      <c r="J160" s="39" t="str">
        <f t="shared" si="23"/>
        <v/>
      </c>
      <c r="K160" s="39" t="str">
        <f>IF(J160="","",'GEOMETRIA DEL MURO'!$F$12)</f>
        <v/>
      </c>
      <c r="L160" s="39" t="str">
        <f>IF(F160="","",(('MC ANALISIS INTERNO'!$D$56*(($E$29*C160)+'CARGAS DISTRIBUIDAS'!$B$13+'CARGAS CONCENTRADAS'!$D$59))+'CARGAS CONCENTRADAS'!$D$34)*D160)</f>
        <v/>
      </c>
      <c r="M160" s="39" t="str">
        <f>IF(H160="","",'DISEÑO POR SISMO'!$D$34*('DISEÑO ALTERNATIVO'!I160/SUM($I$52:I218)))</f>
        <v/>
      </c>
      <c r="N160" s="39" t="str">
        <f t="shared" si="24"/>
        <v/>
      </c>
      <c r="O160" s="192"/>
    </row>
    <row r="161" spans="3:8" x14ac:dyDescent="0.25">
      <c r="C161" s="39" t="str">
        <f>IF(B161="","",IF(SUM($B$52:B161)&gt;$C$18,"",C160+B161))</f>
        <v/>
      </c>
      <c r="D161" s="135" t="str">
        <f t="shared" ref="D161:D165" si="25">IF(C161=$C$18,(0.5*B161)+(0.5*B161),IF(C161="","",(0.5*B161)+(0.5*B162)))</f>
        <v/>
      </c>
      <c r="E161" s="135" t="str">
        <f t="shared" ref="E161:E168" si="26">IF(D161="","",$C$18-C161)</f>
        <v/>
      </c>
      <c r="G161" s="135" t="str">
        <f>IF(F161="","",E161*TAN(RADIANS(45-('PROPIEDADES DE LOS SUELOS'!$C$26/2))))</f>
        <v/>
      </c>
      <c r="H161" s="135" t="str">
        <f>IF(F161="","",IF(F161="Geomalla",(1.5*L161)/(DISEÑO!$C$20*TAN(RADIANS('PROPIEDADES DE LOS SUELOS'!$C$26))*DISEÑO!$C$21*'PROPIEDADES DE LOS SUELOS'!$C$24*'DISEÑO ALTERNATIVO'!C161*DISEÑO!$C$25*0.8),(1.5*L161)/(DISEÑO!$C$20*TAN(RADIANS('PROPIEDADES DE LOS SUELOS'!$C$26))*DISEÑO!$C$21*'PROPIEDADES DE LOS SUELOS'!$C$24*'DISEÑO ALTERNATIVO'!C161*DISEÑO!$C$25*0.6)))</f>
        <v/>
      </c>
    </row>
    <row r="162" spans="3:8" x14ac:dyDescent="0.25">
      <c r="C162" s="39" t="str">
        <f>IF(B162="","",IF(SUM($B$52:B162)&gt;$C$18,"",C161+B162))</f>
        <v/>
      </c>
      <c r="D162" s="135" t="str">
        <f t="shared" si="25"/>
        <v/>
      </c>
      <c r="E162" s="135" t="str">
        <f t="shared" si="26"/>
        <v/>
      </c>
      <c r="G162" s="135" t="str">
        <f>IF(F162="","",E162*TAN(RADIANS(45-('PROPIEDADES DE LOS SUELOS'!$C$26/2))))</f>
        <v/>
      </c>
      <c r="H162" s="135" t="str">
        <f>IF(F162="","",IF(F162="Geomalla",(1.5*L162)/(DISEÑO!$C$20*TAN(RADIANS('PROPIEDADES DE LOS SUELOS'!$C$26))*DISEÑO!$C$21*'PROPIEDADES DE LOS SUELOS'!$C$24*'DISEÑO ALTERNATIVO'!C162*DISEÑO!$C$25*0.8),(1.5*L162)/(DISEÑO!$C$20*TAN(RADIANS('PROPIEDADES DE LOS SUELOS'!$C$26))*DISEÑO!$C$21*'PROPIEDADES DE LOS SUELOS'!$C$24*'DISEÑO ALTERNATIVO'!C162*DISEÑO!$C$25*0.6)))</f>
        <v/>
      </c>
    </row>
    <row r="163" spans="3:8" x14ac:dyDescent="0.25">
      <c r="C163" s="39" t="str">
        <f>IF(B163="","",IF(SUM($B$52:B163)&gt;$C$18,"",C162+B163))</f>
        <v/>
      </c>
      <c r="D163" s="135" t="str">
        <f t="shared" si="25"/>
        <v/>
      </c>
      <c r="E163" s="135" t="str">
        <f t="shared" si="26"/>
        <v/>
      </c>
      <c r="G163" s="135" t="str">
        <f>IF(F163="","",E163*TAN(RADIANS(45-('PROPIEDADES DE LOS SUELOS'!$C$26/2))))</f>
        <v/>
      </c>
      <c r="H163" s="135" t="str">
        <f>IF(F163="","",IF(F163="Geomalla",(1.5*L163)/(DISEÑO!$C$20*TAN(RADIANS('PROPIEDADES DE LOS SUELOS'!$C$26))*DISEÑO!$C$21*'PROPIEDADES DE LOS SUELOS'!$C$24*'DISEÑO ALTERNATIVO'!C163*DISEÑO!$C$25*0.8),(1.5*L163)/(DISEÑO!$C$20*TAN(RADIANS('PROPIEDADES DE LOS SUELOS'!$C$26))*DISEÑO!$C$21*'PROPIEDADES DE LOS SUELOS'!$C$24*'DISEÑO ALTERNATIVO'!C163*DISEÑO!$C$25*0.6)))</f>
        <v/>
      </c>
    </row>
    <row r="164" spans="3:8" x14ac:dyDescent="0.25">
      <c r="C164" s="39" t="str">
        <f>IF(B164="","",IF(SUM($B$52:B164)&gt;$C$18,"",C163+B164))</f>
        <v/>
      </c>
      <c r="D164" s="135" t="str">
        <f t="shared" si="25"/>
        <v/>
      </c>
      <c r="E164" s="135" t="str">
        <f t="shared" si="26"/>
        <v/>
      </c>
      <c r="G164" s="135" t="str">
        <f>IF(F164="","",E164*TAN(RADIANS(45-('PROPIEDADES DE LOS SUELOS'!$C$26/2))))</f>
        <v/>
      </c>
      <c r="H164" s="135" t="str">
        <f>IF(F164="","",IF(F164="Geomalla",(1.5*L164)/(DISEÑO!$C$20*TAN(RADIANS('PROPIEDADES DE LOS SUELOS'!$C$26))*DISEÑO!$C$21*'PROPIEDADES DE LOS SUELOS'!$C$24*'DISEÑO ALTERNATIVO'!C164*DISEÑO!$C$25*0.8),(1.5*L164)/(DISEÑO!$C$20*TAN(RADIANS('PROPIEDADES DE LOS SUELOS'!$C$26))*DISEÑO!$C$21*'PROPIEDADES DE LOS SUELOS'!$C$24*'DISEÑO ALTERNATIVO'!C164*DISEÑO!$C$25*0.6)))</f>
        <v/>
      </c>
    </row>
    <row r="165" spans="3:8" x14ac:dyDescent="0.25">
      <c r="C165" s="39" t="str">
        <f>IF(B165="","",IF(SUM($B$52:B165)&gt;$C$18,"",C164+B165))</f>
        <v/>
      </c>
      <c r="D165" s="135" t="str">
        <f t="shared" si="25"/>
        <v/>
      </c>
      <c r="E165" s="135" t="str">
        <f t="shared" si="26"/>
        <v/>
      </c>
      <c r="G165" s="135" t="str">
        <f>IF(F165="","",E165*TAN(RADIANS(45-('PROPIEDADES DE LOS SUELOS'!$C$26/2))))</f>
        <v/>
      </c>
      <c r="H165" s="135" t="str">
        <f>IF(F165="","",IF(F165="Geomalla",(1.5*L165)/(DISEÑO!$C$20*TAN(RADIANS('PROPIEDADES DE LOS SUELOS'!$C$26))*DISEÑO!$C$21*'PROPIEDADES DE LOS SUELOS'!$C$24*'DISEÑO ALTERNATIVO'!C165*DISEÑO!$C$25*0.8),(1.5*L165)/(DISEÑO!$C$20*TAN(RADIANS('PROPIEDADES DE LOS SUELOS'!$C$26))*DISEÑO!$C$21*'PROPIEDADES DE LOS SUELOS'!$C$24*'DISEÑO ALTERNATIVO'!C165*DISEÑO!$C$25*0.6)))</f>
        <v/>
      </c>
    </row>
    <row r="166" spans="3:8" x14ac:dyDescent="0.25">
      <c r="C166" s="39" t="str">
        <f>IF(B166="","",IF(SUM($B$52:B166)&gt;$C$18,"",C165+B166))</f>
        <v/>
      </c>
      <c r="D166" s="135" t="str">
        <f>IF(C166=$C$18,'MC ANALISIS INTERNO'!$D$71,IF(C166="","",(0.5*B166)+(0.5*B167)))</f>
        <v/>
      </c>
      <c r="E166" s="135" t="str">
        <f t="shared" si="26"/>
        <v/>
      </c>
      <c r="G166" s="135" t="str">
        <f>IF(F166="","",E166*TAN(RADIANS(45-('PROPIEDADES DE LOS SUELOS'!$C$26/2))))</f>
        <v/>
      </c>
      <c r="H166" s="135" t="str">
        <f>IF(F166="","",IF(F166="Geomalla",(1.5*L166)/(DISEÑO!$C$20*TAN(RADIANS('PROPIEDADES DE LOS SUELOS'!$C$26))*DISEÑO!$C$21*'PROPIEDADES DE LOS SUELOS'!$C$24*'DISEÑO ALTERNATIVO'!C166*DISEÑO!$C$25*0.8),(1.5*L166)/(DISEÑO!$C$20*TAN(RADIANS('PROPIEDADES DE LOS SUELOS'!$C$26))*DISEÑO!$C$21*'PROPIEDADES DE LOS SUELOS'!$C$24*'DISEÑO ALTERNATIVO'!C166*DISEÑO!$C$25*0.6)))</f>
        <v/>
      </c>
    </row>
    <row r="167" spans="3:8" x14ac:dyDescent="0.25">
      <c r="C167" s="39" t="str">
        <f>IF(B167="","",IF(SUM($B$52:B167)&gt;$C$18,"",C166+B167))</f>
        <v/>
      </c>
      <c r="D167" s="135" t="str">
        <f>IF(C167=$C$18,'MC ANALISIS INTERNO'!$D$71,IF(C167="","",(0.5*B167)+(0.5*B168)))</f>
        <v/>
      </c>
      <c r="E167" s="135" t="str">
        <f t="shared" si="26"/>
        <v/>
      </c>
      <c r="G167" s="135" t="str">
        <f>IF(F167="","",E167*TAN(RADIANS(45-('PROPIEDADES DE LOS SUELOS'!$C$26/2))))</f>
        <v/>
      </c>
      <c r="H167" s="135" t="str">
        <f>IF(F167="","",IF(F167="Geomalla",(1.5*L167)/(DISEÑO!$C$20*TAN(RADIANS('PROPIEDADES DE LOS SUELOS'!$C$26))*DISEÑO!$C$21*'PROPIEDADES DE LOS SUELOS'!$C$24*'DISEÑO ALTERNATIVO'!C167*DISEÑO!$C$25*0.8),(1.5*L167)/(DISEÑO!$C$20*TAN(RADIANS('PROPIEDADES DE LOS SUELOS'!$C$26))*DISEÑO!$C$21*'PROPIEDADES DE LOS SUELOS'!$C$24*'DISEÑO ALTERNATIVO'!C167*DISEÑO!$C$25*0.6)))</f>
        <v/>
      </c>
    </row>
    <row r="168" spans="3:8" x14ac:dyDescent="0.25">
      <c r="C168" s="39" t="str">
        <f>IF(B168="","",IF(SUM($B$52:B168)&gt;$C$18,"",C167+B168))</f>
        <v/>
      </c>
      <c r="D168" s="135" t="str">
        <f>IF(C168=$C$18,'MC ANALISIS INTERNO'!$D$71,IF(C168="","",(0.5*B168)+(0.5*B169)))</f>
        <v/>
      </c>
      <c r="E168" s="135" t="str">
        <f t="shared" si="26"/>
        <v/>
      </c>
      <c r="G168" s="135" t="str">
        <f>IF(F168="","",E168*TAN(RADIANS(45-('PROPIEDADES DE LOS SUELOS'!$C$26/2))))</f>
        <v/>
      </c>
      <c r="H168" s="135" t="str">
        <f>IF(F168="","",IF(F168="Geomalla",(1.5*L168)/(DISEÑO!$C$20*TAN(RADIANS('PROPIEDADES DE LOS SUELOS'!$C$26))*DISEÑO!$C$21*'PROPIEDADES DE LOS SUELOS'!$C$24*'DISEÑO ALTERNATIVO'!C168*DISEÑO!$C$25*0.8),(1.5*L168)/(DISEÑO!$C$20*TAN(RADIANS('PROPIEDADES DE LOS SUELOS'!$C$26))*DISEÑO!$C$21*'PROPIEDADES DE LOS SUELOS'!$C$24*'DISEÑO ALTERNATIVO'!C168*DISEÑO!$C$25*0.6)))</f>
        <v/>
      </c>
    </row>
    <row r="169" spans="3:8" x14ac:dyDescent="0.25">
      <c r="C169" s="39" t="str">
        <f>IF(B169="","",IF(SUM($B$52:B169)&gt;$C$18,"",C168+B169))</f>
        <v/>
      </c>
      <c r="D169" s="135" t="str">
        <f>IF(C169=$C$18,'MC ANALISIS INTERNO'!$D$71,IF(C169="","",(0.5*B169)+(0.5*B170)))</f>
        <v/>
      </c>
      <c r="G169" s="135" t="str">
        <f>IF(F169="","",E169*TAN(RADIANS(45-('PROPIEDADES DE LOS SUELOS'!$C$26/2))))</f>
        <v/>
      </c>
      <c r="H169" s="135" t="str">
        <f>IF(F169="","",IF(F169="Geomalla",(1.5*L169)/(DISEÑO!$C$20*TAN(RADIANS('PROPIEDADES DE LOS SUELOS'!$C$26))*DISEÑO!$C$21*'PROPIEDADES DE LOS SUELOS'!$C$24*'DISEÑO ALTERNATIVO'!C169*DISEÑO!$C$25*0.8),(1.5*L169)/(DISEÑO!$C$20*TAN(RADIANS('PROPIEDADES DE LOS SUELOS'!$C$26))*DISEÑO!$C$21*'PROPIEDADES DE LOS SUELOS'!$C$24*'DISEÑO ALTERNATIVO'!C169*DISEÑO!$C$25*0.6)))</f>
        <v/>
      </c>
    </row>
    <row r="170" spans="3:8" x14ac:dyDescent="0.25">
      <c r="C170" s="39" t="str">
        <f>IF(B170="","",IF(SUM($B$52:B170)&gt;$C$18,"",C169+B170))</f>
        <v/>
      </c>
      <c r="D170" s="135" t="str">
        <f>IF(C170=$C$18,'MC ANALISIS INTERNO'!$D$71,IF(C170="","",(0.5*B170)+(0.5*B171)))</f>
        <v/>
      </c>
    </row>
  </sheetData>
  <dataConsolidate/>
  <mergeCells count="14">
    <mergeCell ref="A50:O50"/>
    <mergeCell ref="A15:C15"/>
    <mergeCell ref="D15:N16"/>
    <mergeCell ref="D14:N14"/>
    <mergeCell ref="C1:I2"/>
    <mergeCell ref="C3:I4"/>
    <mergeCell ref="D10:I10"/>
    <mergeCell ref="A11:C11"/>
    <mergeCell ref="A12:C12"/>
    <mergeCell ref="D13:N13"/>
    <mergeCell ref="D12:N12"/>
    <mergeCell ref="D11:N11"/>
    <mergeCell ref="A13:C13"/>
    <mergeCell ref="A14:C14"/>
  </mergeCells>
  <dataValidations disablePrompts="1" count="3">
    <dataValidation type="decimal" allowBlank="1" showInputMessage="1" showErrorMessage="1" errorTitle="Espaciamiento entre refuerzos" error="Se recomienda tener un espaciamiento entre 0.3 y 0.8 m" promptTitle="Espaciamiento entre capas" sqref="B53:B170">
      <formula1>0.3</formula1>
      <formula2>0.8</formula2>
    </dataValidation>
    <dataValidation allowBlank="1" showInputMessage="1" showErrorMessage="1" errorTitle="Espaciamiento entre refuerzos" error="Se recomienda tener un espaciamiento entre 0.3 y 0.8 m" promptTitle="Espaciamiento entre capas" sqref="B52"/>
    <dataValidation type="list" allowBlank="1" showInputMessage="1" showErrorMessage="1" sqref="F52:F160">
      <formula1>$N$46:$N$48</formula1>
    </dataValidation>
  </dataValidations>
  <pageMargins left="0.70866141732283472" right="0.70866141732283472" top="0.74803149606299213" bottom="0.74803149606299213" header="0.31496062992125984" footer="0.31496062992125984"/>
  <pageSetup scale="70" orientation="landscape" r:id="rId1"/>
  <rowBreaks count="1" manualBreakCount="1">
    <brk id="41" max="12" man="1"/>
  </rowBreaks>
  <ignoredErrors>
    <ignoredError sqref="C53:C6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C1:I12"/>
  <sheetViews>
    <sheetView showGridLines="0" zoomScale="60" zoomScaleNormal="60" workbookViewId="0">
      <selection activeCell="G30" sqref="G30"/>
    </sheetView>
  </sheetViews>
  <sheetFormatPr baseColWidth="10" defaultRowHeight="15" x14ac:dyDescent="0.25"/>
  <sheetData>
    <row r="1" spans="3:9" s="84" customFormat="1" x14ac:dyDescent="0.25">
      <c r="C1" s="206" t="s">
        <v>10</v>
      </c>
      <c r="D1" s="206"/>
      <c r="E1" s="206"/>
      <c r="F1" s="206"/>
      <c r="G1" s="206"/>
      <c r="H1" s="206"/>
      <c r="I1" s="206"/>
    </row>
    <row r="2" spans="3:9" s="84" customFormat="1" x14ac:dyDescent="0.25">
      <c r="C2" s="206"/>
      <c r="D2" s="206"/>
      <c r="E2" s="206"/>
      <c r="F2" s="206"/>
      <c r="G2" s="206"/>
      <c r="H2" s="206"/>
      <c r="I2" s="206"/>
    </row>
    <row r="3" spans="3:9" s="84" customFormat="1" x14ac:dyDescent="0.25">
      <c r="C3" s="206" t="s">
        <v>11</v>
      </c>
      <c r="D3" s="206"/>
      <c r="E3" s="206"/>
      <c r="F3" s="206"/>
      <c r="G3" s="206"/>
      <c r="H3" s="206"/>
      <c r="I3" s="206"/>
    </row>
    <row r="4" spans="3:9" s="84" customFormat="1" x14ac:dyDescent="0.25">
      <c r="C4" s="206"/>
      <c r="D4" s="206"/>
      <c r="E4" s="206"/>
      <c r="F4" s="206"/>
      <c r="G4" s="206"/>
      <c r="H4" s="206"/>
      <c r="I4" s="206"/>
    </row>
    <row r="5" spans="3:9" s="84" customFormat="1" x14ac:dyDescent="0.25"/>
    <row r="6" spans="3:9" s="84" customFormat="1" x14ac:dyDescent="0.25"/>
    <row r="7" spans="3:9" s="84" customFormat="1" x14ac:dyDescent="0.25"/>
    <row r="8" spans="3:9" s="84" customFormat="1" x14ac:dyDescent="0.25"/>
    <row r="9" spans="3:9" s="84" customFormat="1" x14ac:dyDescent="0.25"/>
    <row r="10" spans="3:9" s="84" customFormat="1" x14ac:dyDescent="0.25"/>
    <row r="11" spans="3:9" s="84" customFormat="1" ht="15" customHeight="1" x14ac:dyDescent="0.25">
      <c r="E11" s="207" t="s">
        <v>227</v>
      </c>
      <c r="F11" s="207"/>
      <c r="G11" s="207"/>
      <c r="H11" s="207"/>
      <c r="I11" s="207"/>
    </row>
    <row r="12" spans="3:9" s="84" customFormat="1" ht="15" customHeight="1" x14ac:dyDescent="0.25">
      <c r="E12" s="207"/>
      <c r="F12" s="207"/>
      <c r="G12" s="207"/>
      <c r="H12" s="207"/>
      <c r="I12" s="207"/>
    </row>
  </sheetData>
  <mergeCells count="3">
    <mergeCell ref="C1:I2"/>
    <mergeCell ref="C3:I4"/>
    <mergeCell ref="E11:I12"/>
  </mergeCells>
  <pageMargins left="0.7" right="0.7" top="0.75" bottom="0.75" header="0.3" footer="0.3"/>
  <pageSetup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204"/>
  <sheetViews>
    <sheetView showGridLines="0" topLeftCell="B1" zoomScale="70" zoomScaleNormal="70" zoomScaleSheetLayoutView="70" workbookViewId="0">
      <selection activeCell="F13" sqref="F13"/>
    </sheetView>
  </sheetViews>
  <sheetFormatPr baseColWidth="10" defaultRowHeight="15" x14ac:dyDescent="0.25"/>
  <cols>
    <col min="1" max="1" width="21.42578125" style="85" customWidth="1"/>
    <col min="2" max="2" width="11.140625" style="85" customWidth="1"/>
    <col min="3" max="4" width="11.42578125" style="85"/>
    <col min="5" max="5" width="10.42578125" style="85" customWidth="1"/>
    <col min="6" max="6" width="13.140625" style="85" customWidth="1"/>
    <col min="7" max="10" width="11.42578125" style="85"/>
    <col min="11" max="11" width="10.5703125" style="85" customWidth="1"/>
    <col min="12" max="16" width="11.42578125" style="85"/>
    <col min="17" max="17" width="10.42578125" style="85" customWidth="1"/>
    <col min="18" max="16384" width="11.42578125" style="85"/>
  </cols>
  <sheetData>
    <row r="1" spans="1:15" s="84" customFormat="1" x14ac:dyDescent="0.25">
      <c r="H1" s="206" t="s">
        <v>10</v>
      </c>
      <c r="I1" s="206"/>
      <c r="J1" s="206"/>
      <c r="K1" s="206"/>
      <c r="L1" s="206"/>
      <c r="M1" s="206"/>
      <c r="N1" s="206"/>
    </row>
    <row r="2" spans="1:15" s="84" customFormat="1" x14ac:dyDescent="0.25">
      <c r="H2" s="206"/>
      <c r="I2" s="206"/>
      <c r="J2" s="206"/>
      <c r="K2" s="206"/>
      <c r="L2" s="206"/>
      <c r="M2" s="206"/>
      <c r="N2" s="206"/>
    </row>
    <row r="3" spans="1:15" s="84" customFormat="1" x14ac:dyDescent="0.25">
      <c r="H3" s="206" t="s">
        <v>11</v>
      </c>
      <c r="I3" s="206"/>
      <c r="J3" s="206"/>
      <c r="K3" s="206"/>
      <c r="L3" s="206"/>
      <c r="M3" s="206"/>
      <c r="N3" s="206"/>
    </row>
    <row r="4" spans="1:15" s="84" customFormat="1" x14ac:dyDescent="0.25">
      <c r="H4" s="206"/>
      <c r="I4" s="206"/>
      <c r="J4" s="206"/>
      <c r="K4" s="206"/>
      <c r="L4" s="206"/>
      <c r="M4" s="206"/>
      <c r="N4" s="206"/>
    </row>
    <row r="5" spans="1:15" s="84" customFormat="1" x14ac:dyDescent="0.25"/>
    <row r="6" spans="1:15" s="84" customFormat="1" x14ac:dyDescent="0.25"/>
    <row r="7" spans="1:15" s="84" customFormat="1" x14ac:dyDescent="0.25"/>
    <row r="8" spans="1:15" ht="18.75" x14ac:dyDescent="0.3">
      <c r="A8" s="94" t="s">
        <v>201</v>
      </c>
    </row>
    <row r="9" spans="1:15" ht="15.75" customHeight="1" x14ac:dyDescent="0.25"/>
    <row r="10" spans="1:15" ht="15.75" customHeight="1" x14ac:dyDescent="0.25">
      <c r="E10" s="86" t="s">
        <v>0</v>
      </c>
      <c r="F10" s="87">
        <v>3.73</v>
      </c>
      <c r="G10" s="88" t="s">
        <v>7</v>
      </c>
    </row>
    <row r="11" spans="1:15" ht="15.75" customHeight="1" x14ac:dyDescent="0.25">
      <c r="E11" s="86"/>
      <c r="F11" s="87"/>
      <c r="G11" s="88"/>
      <c r="L11" s="93"/>
      <c r="M11" s="93"/>
      <c r="N11" s="93"/>
      <c r="O11" s="93"/>
    </row>
    <row r="12" spans="1:15" ht="15.75" x14ac:dyDescent="0.25">
      <c r="E12" s="86" t="s">
        <v>1</v>
      </c>
      <c r="F12" s="87">
        <v>4.3</v>
      </c>
      <c r="G12" s="88" t="s">
        <v>7</v>
      </c>
      <c r="L12" s="93"/>
      <c r="M12" s="93"/>
      <c r="N12" s="93"/>
      <c r="O12" s="93"/>
    </row>
    <row r="13" spans="1:15" ht="15" customHeight="1" x14ac:dyDescent="0.25">
      <c r="L13" s="93"/>
      <c r="M13" s="93"/>
      <c r="N13" s="93"/>
      <c r="O13" s="93"/>
    </row>
    <row r="14" spans="1:15" ht="15" customHeight="1" x14ac:dyDescent="0.35">
      <c r="E14" s="86" t="s">
        <v>212</v>
      </c>
      <c r="F14" s="87">
        <v>0.5</v>
      </c>
      <c r="G14" s="88" t="s">
        <v>7</v>
      </c>
      <c r="L14" s="93"/>
      <c r="M14" s="93"/>
      <c r="N14" s="115"/>
      <c r="O14" s="115"/>
    </row>
    <row r="15" spans="1:15" ht="15" customHeight="1" x14ac:dyDescent="0.25">
      <c r="L15" s="93"/>
      <c r="M15" s="93"/>
      <c r="N15" s="115"/>
      <c r="O15" s="115"/>
    </row>
    <row r="16" spans="1:15" ht="15" customHeight="1" x14ac:dyDescent="0.25">
      <c r="E16" s="189" t="s">
        <v>291</v>
      </c>
      <c r="F16" s="87">
        <v>90</v>
      </c>
      <c r="G16" s="188" t="s">
        <v>6</v>
      </c>
      <c r="L16" s="93"/>
      <c r="M16" s="93"/>
      <c r="N16" s="115"/>
      <c r="O16" s="115"/>
    </row>
    <row r="17" spans="1:15" ht="15" customHeight="1" x14ac:dyDescent="0.25">
      <c r="C17" s="209"/>
      <c r="D17" s="209"/>
      <c r="E17" s="209"/>
      <c r="F17" s="209"/>
      <c r="G17" s="209"/>
      <c r="H17" s="209"/>
      <c r="I17" s="209"/>
      <c r="J17" s="209"/>
      <c r="L17" s="93"/>
      <c r="M17" s="93"/>
      <c r="N17" s="115"/>
      <c r="O17" s="115"/>
    </row>
    <row r="18" spans="1:15" ht="15" customHeight="1" x14ac:dyDescent="0.25">
      <c r="C18" s="116"/>
      <c r="D18" s="116"/>
      <c r="E18" s="189" t="s">
        <v>292</v>
      </c>
      <c r="F18" s="87">
        <v>0</v>
      </c>
      <c r="G18" s="116" t="s">
        <v>6</v>
      </c>
      <c r="H18" s="97"/>
      <c r="I18" s="97"/>
      <c r="L18" s="93"/>
      <c r="M18" s="93"/>
      <c r="N18" s="115"/>
      <c r="O18" s="115"/>
    </row>
    <row r="19" spans="1:15" ht="15" customHeight="1" x14ac:dyDescent="0.25">
      <c r="A19" s="86"/>
      <c r="B19" s="87"/>
      <c r="C19" s="93"/>
      <c r="D19" s="93"/>
      <c r="E19" s="93"/>
      <c r="F19" s="93"/>
      <c r="G19" s="93"/>
      <c r="H19" s="93"/>
      <c r="I19" s="93"/>
      <c r="J19" s="93"/>
      <c r="L19" s="93"/>
      <c r="M19" s="93"/>
      <c r="N19" s="115"/>
      <c r="O19" s="115"/>
    </row>
    <row r="20" spans="1:15" ht="15" customHeight="1" x14ac:dyDescent="0.25">
      <c r="A20" s="86"/>
      <c r="B20" s="87"/>
      <c r="C20" s="93"/>
      <c r="D20" s="93"/>
      <c r="E20" s="93"/>
      <c r="F20" s="93"/>
      <c r="G20" s="93"/>
      <c r="H20" s="93"/>
      <c r="I20" s="93"/>
      <c r="J20" s="93"/>
      <c r="L20" s="93"/>
      <c r="M20" s="93"/>
      <c r="N20" s="115"/>
      <c r="O20" s="115"/>
    </row>
    <row r="21" spans="1:15" ht="15" customHeight="1" x14ac:dyDescent="0.25">
      <c r="C21" s="93"/>
      <c r="D21" s="93"/>
      <c r="E21" s="93"/>
      <c r="F21" s="93"/>
      <c r="G21" s="93"/>
      <c r="H21" s="93"/>
      <c r="I21" s="93"/>
      <c r="J21" s="93"/>
      <c r="L21" s="93"/>
      <c r="M21" s="93"/>
      <c r="N21" s="115"/>
      <c r="O21" s="115"/>
    </row>
    <row r="22" spans="1:15" ht="15" customHeight="1" x14ac:dyDescent="0.25">
      <c r="C22" s="93"/>
      <c r="D22" s="93"/>
      <c r="E22" s="93"/>
      <c r="F22" s="93"/>
      <c r="G22" s="93"/>
      <c r="H22" s="93"/>
      <c r="I22" s="93"/>
      <c r="J22" s="93"/>
      <c r="K22" s="93"/>
      <c r="L22" s="93"/>
      <c r="M22" s="93"/>
      <c r="N22" s="115"/>
      <c r="O22" s="115"/>
    </row>
    <row r="23" spans="1:15" ht="15" customHeight="1" x14ac:dyDescent="0.25">
      <c r="C23" s="93"/>
      <c r="D23" s="93"/>
      <c r="E23" s="93"/>
      <c r="F23" s="93"/>
      <c r="G23" s="93"/>
      <c r="H23" s="93"/>
      <c r="I23" s="93"/>
      <c r="J23" s="93"/>
    </row>
    <row r="24" spans="1:15" ht="15" customHeight="1" x14ac:dyDescent="0.25">
      <c r="C24" s="93"/>
      <c r="D24" s="93"/>
      <c r="E24" s="93"/>
      <c r="F24" s="93"/>
      <c r="G24" s="93"/>
      <c r="H24" s="93"/>
      <c r="I24" s="93"/>
      <c r="J24" s="93"/>
    </row>
    <row r="25" spans="1:15" ht="15.75" x14ac:dyDescent="0.25">
      <c r="C25" s="115"/>
      <c r="D25" s="115"/>
      <c r="E25" s="115"/>
      <c r="F25" s="115"/>
      <c r="G25" s="115"/>
      <c r="H25" s="115"/>
      <c r="I25" s="115"/>
      <c r="J25" s="93"/>
    </row>
    <row r="26" spans="1:15" x14ac:dyDescent="0.25">
      <c r="C26" s="208"/>
      <c r="D26" s="208"/>
      <c r="E26" s="208"/>
      <c r="F26" s="208"/>
      <c r="G26" s="208"/>
      <c r="H26" s="208"/>
      <c r="I26" s="208"/>
      <c r="J26" s="208"/>
    </row>
    <row r="27" spans="1:15" x14ac:dyDescent="0.25">
      <c r="C27" s="208"/>
      <c r="D27" s="208"/>
      <c r="E27" s="208"/>
      <c r="F27" s="208"/>
      <c r="G27" s="208"/>
      <c r="H27" s="208"/>
      <c r="I27" s="208"/>
      <c r="J27" s="208"/>
    </row>
    <row r="28" spans="1:15" x14ac:dyDescent="0.25">
      <c r="C28" s="208"/>
      <c r="D28" s="208"/>
      <c r="E28" s="208"/>
      <c r="F28" s="208"/>
      <c r="G28" s="208"/>
      <c r="H28" s="208"/>
      <c r="I28" s="208"/>
      <c r="J28" s="208"/>
    </row>
    <row r="29" spans="1:15" x14ac:dyDescent="0.25">
      <c r="C29" s="208"/>
      <c r="D29" s="208"/>
      <c r="E29" s="208"/>
      <c r="F29" s="208"/>
      <c r="G29" s="208"/>
      <c r="H29" s="208"/>
      <c r="I29" s="208"/>
      <c r="J29" s="208"/>
    </row>
    <row r="56" spans="1:8" ht="15.75" x14ac:dyDescent="0.25">
      <c r="A56" s="104"/>
      <c r="B56" s="84"/>
      <c r="C56" s="88"/>
      <c r="D56" s="117"/>
      <c r="E56" s="117"/>
      <c r="F56" s="117"/>
      <c r="G56" s="117"/>
      <c r="H56" s="117"/>
    </row>
    <row r="77" spans="1:11" ht="15.75" x14ac:dyDescent="0.25">
      <c r="A77" s="104"/>
      <c r="B77" s="105"/>
      <c r="C77" s="88"/>
      <c r="D77" s="115"/>
      <c r="E77" s="115"/>
      <c r="F77" s="115"/>
      <c r="G77" s="115"/>
      <c r="H77" s="115"/>
      <c r="I77" s="115"/>
      <c r="J77" s="115"/>
      <c r="K77" s="115"/>
    </row>
    <row r="167" spans="1:21" ht="18.75" x14ac:dyDescent="0.25">
      <c r="B167" s="114"/>
      <c r="C167" s="114"/>
      <c r="D167" s="114"/>
      <c r="E167" s="114"/>
      <c r="F167" s="114"/>
      <c r="G167" s="114"/>
      <c r="H167" s="114"/>
      <c r="I167" s="114"/>
      <c r="J167" s="114"/>
      <c r="K167" s="114"/>
      <c r="L167" s="114"/>
      <c r="M167" s="114"/>
      <c r="N167" s="114"/>
      <c r="O167" s="114"/>
      <c r="P167" s="114"/>
      <c r="Q167" s="114"/>
      <c r="R167" s="114"/>
      <c r="S167" s="114"/>
      <c r="T167" s="114"/>
      <c r="U167" s="114"/>
    </row>
    <row r="168" spans="1:21" ht="18.75" x14ac:dyDescent="0.25">
      <c r="A168" s="114"/>
      <c r="B168" s="114"/>
      <c r="C168" s="114"/>
      <c r="D168" s="114"/>
      <c r="E168" s="114"/>
      <c r="F168" s="114"/>
      <c r="G168" s="114"/>
      <c r="H168" s="114"/>
      <c r="I168" s="114"/>
      <c r="J168" s="114"/>
      <c r="K168" s="114"/>
      <c r="L168" s="114"/>
      <c r="M168" s="114"/>
      <c r="N168" s="114"/>
      <c r="O168" s="114"/>
      <c r="P168" s="114"/>
      <c r="Q168" s="114"/>
      <c r="R168" s="114"/>
      <c r="S168" s="114"/>
      <c r="T168" s="114"/>
      <c r="U168" s="114"/>
    </row>
    <row r="169" spans="1:21" ht="18.75" x14ac:dyDescent="0.25">
      <c r="A169" s="114"/>
      <c r="B169" s="114"/>
      <c r="C169" s="114"/>
      <c r="D169" s="114"/>
      <c r="E169" s="114"/>
      <c r="F169" s="114"/>
      <c r="G169" s="114"/>
      <c r="H169" s="114"/>
      <c r="I169" s="114"/>
      <c r="J169" s="114"/>
      <c r="K169" s="114"/>
      <c r="L169" s="114"/>
      <c r="M169" s="114"/>
      <c r="N169" s="114"/>
      <c r="O169" s="114"/>
      <c r="P169" s="114"/>
      <c r="Q169" s="114"/>
      <c r="R169" s="114"/>
      <c r="S169" s="114"/>
      <c r="T169" s="114"/>
      <c r="U169" s="114"/>
    </row>
    <row r="170" spans="1:21" ht="18.75" x14ac:dyDescent="0.25">
      <c r="A170" s="114"/>
      <c r="B170" s="114"/>
      <c r="C170" s="114"/>
      <c r="D170" s="114"/>
      <c r="E170" s="114"/>
      <c r="F170" s="114"/>
      <c r="G170" s="114"/>
      <c r="H170" s="114"/>
      <c r="I170" s="114"/>
      <c r="J170" s="114"/>
      <c r="K170" s="114"/>
      <c r="L170" s="114"/>
      <c r="M170" s="114"/>
      <c r="N170" s="114"/>
      <c r="O170" s="114"/>
      <c r="P170" s="114"/>
      <c r="Q170" s="114"/>
      <c r="R170" s="114"/>
      <c r="S170" s="114"/>
      <c r="T170" s="114"/>
      <c r="U170" s="114"/>
    </row>
    <row r="171" spans="1:21" ht="18.75" x14ac:dyDescent="0.25">
      <c r="A171" s="114"/>
      <c r="B171" s="114"/>
      <c r="C171" s="114"/>
      <c r="D171" s="114"/>
      <c r="E171" s="114"/>
      <c r="F171" s="114"/>
      <c r="G171" s="114"/>
      <c r="H171" s="114"/>
      <c r="I171" s="114"/>
      <c r="J171" s="114"/>
      <c r="K171" s="114"/>
      <c r="L171" s="114"/>
      <c r="M171" s="114"/>
      <c r="N171" s="114"/>
      <c r="O171" s="114"/>
      <c r="P171" s="114"/>
      <c r="Q171" s="114"/>
      <c r="R171" s="114"/>
      <c r="S171" s="114"/>
      <c r="T171" s="114"/>
      <c r="U171" s="114"/>
    </row>
    <row r="200" spans="22:23" ht="15" customHeight="1" x14ac:dyDescent="0.25">
      <c r="V200" s="114"/>
      <c r="W200" s="114"/>
    </row>
    <row r="201" spans="22:23" ht="15" customHeight="1" x14ac:dyDescent="0.25">
      <c r="V201" s="114"/>
      <c r="W201" s="114"/>
    </row>
    <row r="202" spans="22:23" ht="15" customHeight="1" x14ac:dyDescent="0.25">
      <c r="V202" s="114"/>
      <c r="W202" s="114"/>
    </row>
    <row r="203" spans="22:23" ht="15" customHeight="1" x14ac:dyDescent="0.25">
      <c r="V203" s="114"/>
      <c r="W203" s="114"/>
    </row>
    <row r="204" spans="22:23" ht="15" customHeight="1" x14ac:dyDescent="0.25">
      <c r="V204" s="114"/>
      <c r="W204" s="114"/>
    </row>
  </sheetData>
  <mergeCells count="4">
    <mergeCell ref="H1:N2"/>
    <mergeCell ref="H3:N4"/>
    <mergeCell ref="C26:J29"/>
    <mergeCell ref="C17:J17"/>
  </mergeCells>
  <pageMargins left="0.7" right="0.7" top="0.75" bottom="0.75" header="0.3" footer="0.3"/>
  <pageSetup scale="33" orientation="portrait" r:id="rId1"/>
  <rowBreaks count="1" manualBreakCount="1">
    <brk id="117"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26"/>
  <sheetViews>
    <sheetView showGridLines="0" topLeftCell="A7" zoomScale="70" zoomScaleNormal="70" zoomScaleSheetLayoutView="75" workbookViewId="0">
      <selection activeCell="F21" sqref="F21"/>
    </sheetView>
  </sheetViews>
  <sheetFormatPr baseColWidth="10" defaultRowHeight="15" x14ac:dyDescent="0.25"/>
  <sheetData>
    <row r="1" spans="1:9" s="84" customFormat="1" x14ac:dyDescent="0.25">
      <c r="C1" s="206" t="s">
        <v>10</v>
      </c>
      <c r="D1" s="206"/>
      <c r="E1" s="206"/>
      <c r="F1" s="206"/>
      <c r="G1" s="206"/>
      <c r="H1" s="206"/>
      <c r="I1" s="206"/>
    </row>
    <row r="2" spans="1:9" s="84" customFormat="1" x14ac:dyDescent="0.25">
      <c r="C2" s="206"/>
      <c r="D2" s="206"/>
      <c r="E2" s="206"/>
      <c r="F2" s="206"/>
      <c r="G2" s="206"/>
      <c r="H2" s="206"/>
      <c r="I2" s="206"/>
    </row>
    <row r="3" spans="1:9" s="84" customFormat="1" x14ac:dyDescent="0.25">
      <c r="C3" s="206" t="s">
        <v>11</v>
      </c>
      <c r="D3" s="206"/>
      <c r="E3" s="206"/>
      <c r="F3" s="206"/>
      <c r="G3" s="206"/>
      <c r="H3" s="206"/>
      <c r="I3" s="206"/>
    </row>
    <row r="4" spans="1:9" s="84" customFormat="1" x14ac:dyDescent="0.25">
      <c r="C4" s="206"/>
      <c r="D4" s="206"/>
      <c r="E4" s="206"/>
      <c r="F4" s="206"/>
      <c r="G4" s="206"/>
      <c r="H4" s="206"/>
      <c r="I4" s="206"/>
    </row>
    <row r="5" spans="1:9" s="84" customFormat="1" x14ac:dyDescent="0.25"/>
    <row r="6" spans="1:9" s="84" customFormat="1" x14ac:dyDescent="0.25"/>
    <row r="7" spans="1:9" s="84" customFormat="1" x14ac:dyDescent="0.25"/>
    <row r="8" spans="1:9" s="84" customFormat="1" x14ac:dyDescent="0.25"/>
    <row r="9" spans="1:9" s="84" customFormat="1" x14ac:dyDescent="0.25"/>
    <row r="10" spans="1:9" s="85" customFormat="1" x14ac:dyDescent="0.25"/>
    <row r="11" spans="1:9" s="85" customFormat="1" ht="18.75" x14ac:dyDescent="0.3">
      <c r="A11" s="94" t="s">
        <v>180</v>
      </c>
      <c r="B11" s="84"/>
      <c r="C11" s="84"/>
      <c r="D11" s="84"/>
      <c r="E11" s="84"/>
      <c r="F11" s="84"/>
    </row>
    <row r="12" spans="1:9" s="85" customFormat="1" x14ac:dyDescent="0.25">
      <c r="A12" s="84"/>
      <c r="B12" s="84"/>
      <c r="C12" s="84"/>
      <c r="D12" s="84"/>
    </row>
    <row r="13" spans="1:9" s="85" customFormat="1" ht="15.75" x14ac:dyDescent="0.25">
      <c r="B13" s="88" t="s">
        <v>266</v>
      </c>
      <c r="C13" s="88"/>
      <c r="D13" s="88"/>
    </row>
    <row r="14" spans="1:9" s="85" customFormat="1" ht="19.5" x14ac:dyDescent="0.35">
      <c r="B14" s="104" t="s">
        <v>181</v>
      </c>
      <c r="C14" s="105">
        <v>16.43</v>
      </c>
      <c r="D14" s="88" t="s">
        <v>182</v>
      </c>
    </row>
    <row r="15" spans="1:9" s="85" customFormat="1" ht="19.5" x14ac:dyDescent="0.35">
      <c r="B15" s="86" t="s">
        <v>183</v>
      </c>
      <c r="C15" s="105">
        <v>99</v>
      </c>
      <c r="D15" s="88" t="s">
        <v>184</v>
      </c>
    </row>
    <row r="16" spans="1:9" s="85" customFormat="1" ht="18.75" x14ac:dyDescent="0.35">
      <c r="B16" s="104" t="s">
        <v>185</v>
      </c>
      <c r="C16" s="105">
        <v>28</v>
      </c>
      <c r="D16" s="88" t="s">
        <v>6</v>
      </c>
    </row>
    <row r="18" spans="2:4" ht="15.75" x14ac:dyDescent="0.25">
      <c r="B18" s="88" t="s">
        <v>267</v>
      </c>
      <c r="C18" s="88"/>
      <c r="D18" s="88"/>
    </row>
    <row r="19" spans="2:4" ht="19.5" x14ac:dyDescent="0.35">
      <c r="B19" s="104" t="s">
        <v>186</v>
      </c>
      <c r="C19" s="105">
        <v>18</v>
      </c>
      <c r="D19" s="88" t="s">
        <v>182</v>
      </c>
    </row>
    <row r="20" spans="2:4" ht="19.5" x14ac:dyDescent="0.35">
      <c r="B20" s="86" t="s">
        <v>187</v>
      </c>
      <c r="C20" s="105">
        <v>10</v>
      </c>
      <c r="D20" s="88" t="s">
        <v>184</v>
      </c>
    </row>
    <row r="21" spans="2:4" ht="18.75" x14ac:dyDescent="0.35">
      <c r="B21" s="104" t="s">
        <v>188</v>
      </c>
      <c r="C21" s="105">
        <v>30</v>
      </c>
      <c r="D21" s="88" t="s">
        <v>6</v>
      </c>
    </row>
    <row r="23" spans="2:4" ht="15.75" x14ac:dyDescent="0.25">
      <c r="B23" s="88" t="s">
        <v>268</v>
      </c>
      <c r="C23" s="88"/>
      <c r="D23" s="88"/>
    </row>
    <row r="24" spans="2:4" ht="19.5" x14ac:dyDescent="0.35">
      <c r="B24" s="104" t="s">
        <v>189</v>
      </c>
      <c r="C24" s="105">
        <v>18</v>
      </c>
      <c r="D24" s="88" t="s">
        <v>182</v>
      </c>
    </row>
    <row r="25" spans="2:4" ht="19.5" x14ac:dyDescent="0.35">
      <c r="B25" s="86" t="s">
        <v>190</v>
      </c>
      <c r="C25" s="105">
        <v>10</v>
      </c>
      <c r="D25" s="88" t="s">
        <v>184</v>
      </c>
    </row>
    <row r="26" spans="2:4" ht="18.75" x14ac:dyDescent="0.35">
      <c r="B26" s="104" t="s">
        <v>191</v>
      </c>
      <c r="C26" s="105">
        <v>30</v>
      </c>
      <c r="D26" s="88" t="s">
        <v>6</v>
      </c>
    </row>
  </sheetData>
  <mergeCells count="2">
    <mergeCell ref="C1:I2"/>
    <mergeCell ref="C3:I4"/>
  </mergeCells>
  <pageMargins left="0.7" right="0.7" top="0.75" bottom="0.75" header="0.3" footer="0.3"/>
  <pageSetup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W36"/>
  <sheetViews>
    <sheetView showGridLines="0" topLeftCell="A7" zoomScale="70" zoomScaleNormal="70" zoomScaleSheetLayoutView="70" workbookViewId="0">
      <selection activeCell="G33" sqref="G33"/>
    </sheetView>
  </sheetViews>
  <sheetFormatPr baseColWidth="10" defaultRowHeight="15" x14ac:dyDescent="0.25"/>
  <cols>
    <col min="3" max="3" width="11.42578125" customWidth="1"/>
  </cols>
  <sheetData>
    <row r="1" spans="1:11" s="84" customFormat="1" x14ac:dyDescent="0.25">
      <c r="C1" s="206" t="s">
        <v>10</v>
      </c>
      <c r="D1" s="206"/>
      <c r="E1" s="206"/>
      <c r="F1" s="206"/>
      <c r="G1" s="206"/>
      <c r="H1" s="206"/>
      <c r="I1" s="206"/>
    </row>
    <row r="2" spans="1:11" s="84" customFormat="1" x14ac:dyDescent="0.25">
      <c r="C2" s="206"/>
      <c r="D2" s="206"/>
      <c r="E2" s="206"/>
      <c r="F2" s="206"/>
      <c r="G2" s="206"/>
      <c r="H2" s="206"/>
      <c r="I2" s="206"/>
    </row>
    <row r="3" spans="1:11" s="84" customFormat="1" x14ac:dyDescent="0.25">
      <c r="C3" s="206" t="s">
        <v>11</v>
      </c>
      <c r="D3" s="206"/>
      <c r="E3" s="206"/>
      <c r="F3" s="206"/>
      <c r="G3" s="206"/>
      <c r="H3" s="206"/>
      <c r="I3" s="206"/>
    </row>
    <row r="4" spans="1:11" s="84" customFormat="1" x14ac:dyDescent="0.25">
      <c r="C4" s="206"/>
      <c r="D4" s="206"/>
      <c r="E4" s="206"/>
      <c r="F4" s="206"/>
      <c r="G4" s="206"/>
      <c r="H4" s="206"/>
      <c r="I4" s="206"/>
    </row>
    <row r="5" spans="1:11" s="84" customFormat="1" x14ac:dyDescent="0.25"/>
    <row r="6" spans="1:11" s="84" customFormat="1" x14ac:dyDescent="0.25"/>
    <row r="7" spans="1:11" s="84" customFormat="1" x14ac:dyDescent="0.25"/>
    <row r="8" spans="1:11" s="84" customFormat="1" x14ac:dyDescent="0.25"/>
    <row r="9" spans="1:11" s="84" customFormat="1" x14ac:dyDescent="0.25"/>
    <row r="11" spans="1:11" s="85" customFormat="1" ht="18.75" x14ac:dyDescent="0.3">
      <c r="A11" s="106" t="s">
        <v>203</v>
      </c>
      <c r="B11" s="84"/>
      <c r="C11" s="88"/>
      <c r="D11" s="117"/>
      <c r="E11" s="117"/>
      <c r="F11" s="117"/>
      <c r="G11" s="117"/>
      <c r="H11" s="117"/>
    </row>
    <row r="12" spans="1:11" s="85" customFormat="1" ht="15.75" x14ac:dyDescent="0.25">
      <c r="A12" s="104"/>
      <c r="B12" s="84"/>
      <c r="C12" s="88"/>
      <c r="D12" s="117"/>
      <c r="E12" s="117"/>
      <c r="F12" s="117"/>
      <c r="G12" s="117"/>
      <c r="H12" s="117"/>
    </row>
    <row r="13" spans="1:11" s="85" customFormat="1" ht="15.75" customHeight="1" x14ac:dyDescent="0.25">
      <c r="A13" s="120" t="s">
        <v>136</v>
      </c>
      <c r="B13" s="105">
        <v>2</v>
      </c>
      <c r="D13" s="93"/>
      <c r="E13" s="93"/>
      <c r="F13" s="93"/>
      <c r="G13" s="93"/>
      <c r="H13" s="93"/>
      <c r="I13" s="93"/>
      <c r="J13" s="93"/>
      <c r="K13" s="93"/>
    </row>
    <row r="14" spans="1:11" s="85" customFormat="1" ht="15.75" x14ac:dyDescent="0.25">
      <c r="A14" s="91"/>
      <c r="B14" s="105"/>
      <c r="D14" s="115"/>
      <c r="E14" s="115"/>
      <c r="F14" s="115"/>
      <c r="G14" s="115"/>
      <c r="H14" s="115"/>
    </row>
    <row r="15" spans="1:11" s="85" customFormat="1" ht="18" customHeight="1" x14ac:dyDescent="0.35">
      <c r="A15" s="120" t="s">
        <v>217</v>
      </c>
      <c r="B15" s="105">
        <v>0.66</v>
      </c>
      <c r="D15" s="93"/>
      <c r="E15" s="93"/>
      <c r="F15" s="93"/>
      <c r="G15" s="93"/>
      <c r="H15" s="93"/>
      <c r="I15" s="93"/>
      <c r="J15" s="93"/>
      <c r="K15" s="93"/>
    </row>
    <row r="16" spans="1:11" s="85" customFormat="1" x14ac:dyDescent="0.25">
      <c r="A16" s="91" t="s">
        <v>138</v>
      </c>
      <c r="B16" t="s">
        <v>139</v>
      </c>
      <c r="G16" s="117"/>
      <c r="H16" s="117"/>
    </row>
    <row r="17" spans="1:13" s="85" customFormat="1" ht="15" customHeight="1" x14ac:dyDescent="0.25">
      <c r="A17" s="91"/>
      <c r="D17" s="210" t="s">
        <v>204</v>
      </c>
      <c r="E17" s="210"/>
      <c r="F17" s="210"/>
      <c r="G17" s="210"/>
      <c r="H17" s="93"/>
    </row>
    <row r="18" spans="1:13" s="85" customFormat="1" ht="15" customHeight="1" x14ac:dyDescent="0.25">
      <c r="A18" s="91"/>
      <c r="B18" s="91" t="s">
        <v>140</v>
      </c>
      <c r="G18" s="117"/>
      <c r="H18" s="117"/>
    </row>
    <row r="19" spans="1:13" s="85" customFormat="1" ht="15" customHeight="1" x14ac:dyDescent="0.25">
      <c r="C19" s="91" t="s">
        <v>141</v>
      </c>
      <c r="D19" s="105">
        <v>1</v>
      </c>
      <c r="E19" s="85" t="s">
        <v>7</v>
      </c>
      <c r="F19" s="92"/>
      <c r="G19" s="92"/>
      <c r="H19" s="92"/>
    </row>
    <row r="20" spans="1:13" s="85" customFormat="1" ht="15" customHeight="1" x14ac:dyDescent="0.25">
      <c r="B20" s="85">
        <v>2</v>
      </c>
      <c r="C20" s="91"/>
      <c r="D20" s="105"/>
      <c r="F20" s="92"/>
      <c r="G20" s="92"/>
      <c r="H20" s="92"/>
    </row>
    <row r="21" spans="1:13" s="85" customFormat="1" ht="15.75" customHeight="1" x14ac:dyDescent="0.25">
      <c r="C21" s="91" t="s">
        <v>142</v>
      </c>
      <c r="D21" s="105">
        <v>1</v>
      </c>
      <c r="E21" s="85" t="s">
        <v>7</v>
      </c>
      <c r="F21" s="125"/>
      <c r="G21" s="125"/>
      <c r="H21" s="125"/>
    </row>
    <row r="22" spans="1:13" s="85" customFormat="1" ht="15.75" x14ac:dyDescent="0.25">
      <c r="A22" s="120" t="s">
        <v>143</v>
      </c>
      <c r="B22" s="105">
        <v>1</v>
      </c>
      <c r="F22" s="125"/>
      <c r="G22" s="125"/>
      <c r="H22" s="125"/>
    </row>
    <row r="23" spans="1:13" s="85" customFormat="1" x14ac:dyDescent="0.25">
      <c r="C23" s="91"/>
      <c r="F23" s="125"/>
      <c r="G23" s="125"/>
      <c r="H23" s="125"/>
    </row>
    <row r="24" spans="1:13" s="85" customFormat="1" x14ac:dyDescent="0.25">
      <c r="C24" s="91"/>
      <c r="F24" s="117"/>
      <c r="G24" s="117"/>
      <c r="H24" s="117"/>
    </row>
    <row r="25" spans="1:13" s="85" customFormat="1" ht="15.75" customHeight="1" x14ac:dyDescent="0.25">
      <c r="A25" s="120" t="s">
        <v>145</v>
      </c>
      <c r="B25" s="105">
        <f>IF(C25="Geotextil",0.6,IF(C25="Geomalla",0.8,0))</f>
        <v>0.8</v>
      </c>
      <c r="C25" s="126" t="s">
        <v>229</v>
      </c>
      <c r="F25" s="125"/>
      <c r="G25" s="125"/>
      <c r="H25" s="125"/>
    </row>
    <row r="26" spans="1:13" s="85" customFormat="1" ht="15.75" x14ac:dyDescent="0.25">
      <c r="A26" s="120"/>
      <c r="B26" s="105"/>
      <c r="C26" s="126"/>
      <c r="F26" s="125"/>
      <c r="G26" s="125"/>
      <c r="H26" s="125"/>
    </row>
    <row r="27" spans="1:13" ht="15.75" x14ac:dyDescent="0.25">
      <c r="A27" s="120"/>
      <c r="B27" s="105"/>
      <c r="C27" s="85"/>
      <c r="D27" s="85"/>
      <c r="E27" s="85"/>
      <c r="F27" s="125"/>
      <c r="G27" s="125"/>
      <c r="H27" s="125"/>
      <c r="I27" s="85"/>
      <c r="J27" s="85"/>
      <c r="K27" s="93"/>
      <c r="L27" s="93"/>
      <c r="M27" s="93"/>
    </row>
    <row r="28" spans="1:13" s="85" customFormat="1" ht="15.75" x14ac:dyDescent="0.25">
      <c r="A28" s="88" t="s">
        <v>219</v>
      </c>
      <c r="B28" s="105"/>
      <c r="C28" s="88"/>
      <c r="D28" s="84"/>
      <c r="E28" s="84"/>
      <c r="F28" s="84"/>
    </row>
    <row r="29" spans="1:13" s="85" customFormat="1" x14ac:dyDescent="0.25">
      <c r="A29" s="84"/>
      <c r="B29" s="84"/>
      <c r="C29" s="84"/>
      <c r="D29" s="84"/>
      <c r="E29" s="84"/>
      <c r="F29" s="84"/>
    </row>
    <row r="30" spans="1:13" s="85" customFormat="1" ht="15.75" x14ac:dyDescent="0.25">
      <c r="A30" s="104" t="s">
        <v>195</v>
      </c>
      <c r="B30" s="105"/>
      <c r="C30" s="88" t="s">
        <v>6</v>
      </c>
      <c r="D30" s="93"/>
      <c r="E30" s="93"/>
      <c r="F30" s="93"/>
      <c r="G30" s="93"/>
      <c r="H30" s="93"/>
      <c r="I30" s="93"/>
      <c r="J30" s="93"/>
      <c r="K30" s="93"/>
    </row>
    <row r="31" spans="1:13" s="85" customFormat="1" ht="15.75" x14ac:dyDescent="0.25">
      <c r="A31" s="104"/>
      <c r="B31" s="84"/>
      <c r="C31" s="88"/>
      <c r="D31" s="93"/>
      <c r="E31" s="93"/>
      <c r="F31" s="93"/>
      <c r="G31" s="93"/>
      <c r="H31" s="93"/>
      <c r="I31" s="93"/>
      <c r="J31" s="93"/>
      <c r="K31" s="93"/>
    </row>
    <row r="32" spans="1:13" s="85" customFormat="1" ht="15.75" x14ac:dyDescent="0.25">
      <c r="A32" s="104"/>
      <c r="B32" s="84"/>
      <c r="C32" s="88"/>
      <c r="D32" s="93"/>
      <c r="E32" s="93"/>
      <c r="F32" s="93"/>
      <c r="G32" s="93"/>
      <c r="H32" s="93"/>
      <c r="I32" s="93"/>
      <c r="J32" s="93"/>
      <c r="K32" s="93"/>
    </row>
    <row r="33" spans="1:23" s="85" customFormat="1" ht="15.75" customHeight="1" x14ac:dyDescent="0.25">
      <c r="A33" s="124"/>
      <c r="B33" s="124"/>
      <c r="C33" s="124"/>
      <c r="D33" s="124"/>
      <c r="E33" s="124"/>
      <c r="F33" s="124"/>
      <c r="G33" s="124"/>
      <c r="H33" s="124"/>
      <c r="I33" s="124"/>
      <c r="J33" s="124"/>
      <c r="K33" s="124"/>
      <c r="L33" s="124"/>
      <c r="M33" s="124"/>
      <c r="N33" s="124"/>
      <c r="O33" s="124"/>
      <c r="P33" s="124"/>
      <c r="Q33" s="124"/>
      <c r="R33" s="124"/>
      <c r="S33" s="124"/>
      <c r="T33" s="124"/>
      <c r="U33" s="124"/>
      <c r="V33" s="124"/>
      <c r="W33" s="124"/>
    </row>
    <row r="34" spans="1:23" s="85" customFormat="1" ht="15.75" customHeight="1" x14ac:dyDescent="0.25">
      <c r="A34" s="124"/>
      <c r="B34" s="124"/>
      <c r="C34" s="124"/>
      <c r="D34" s="124"/>
      <c r="E34" s="124"/>
      <c r="F34" s="124"/>
      <c r="G34" s="124"/>
      <c r="H34" s="124"/>
      <c r="I34" s="124"/>
      <c r="J34" s="124"/>
      <c r="K34" s="124"/>
      <c r="L34" s="124"/>
      <c r="M34" s="124"/>
      <c r="N34" s="124"/>
      <c r="O34" s="124"/>
      <c r="P34" s="124"/>
      <c r="Q34" s="124"/>
      <c r="R34" s="124"/>
      <c r="S34" s="124"/>
      <c r="T34" s="124"/>
      <c r="U34" s="124"/>
      <c r="V34" s="124"/>
      <c r="W34" s="124"/>
    </row>
    <row r="35" spans="1:23" s="85" customFormat="1" ht="15.75" customHeight="1" x14ac:dyDescent="0.25">
      <c r="A35" s="124"/>
      <c r="B35" s="124"/>
      <c r="C35" s="124"/>
      <c r="D35" s="124"/>
      <c r="E35" s="124"/>
      <c r="F35" s="124"/>
      <c r="G35" s="124"/>
      <c r="H35" s="124"/>
      <c r="I35" s="124"/>
      <c r="J35" s="124"/>
      <c r="K35" s="124"/>
      <c r="L35" s="124"/>
      <c r="M35" s="124"/>
      <c r="N35" s="124"/>
      <c r="O35" s="124"/>
      <c r="P35" s="124"/>
      <c r="Q35" s="124"/>
      <c r="R35" s="124"/>
      <c r="S35" s="124"/>
      <c r="T35" s="124"/>
      <c r="U35" s="124"/>
      <c r="V35" s="124"/>
      <c r="W35" s="124"/>
    </row>
    <row r="36" spans="1:23" s="85" customFormat="1" ht="15.75" customHeight="1" x14ac:dyDescent="0.25">
      <c r="A36" s="121"/>
      <c r="B36" s="121"/>
      <c r="C36" s="121"/>
      <c r="D36" s="121"/>
      <c r="E36" s="121"/>
      <c r="F36" s="121"/>
      <c r="G36" s="121"/>
      <c r="H36" s="121"/>
    </row>
  </sheetData>
  <mergeCells count="3">
    <mergeCell ref="D17:G17"/>
    <mergeCell ref="C1:I2"/>
    <mergeCell ref="C3:I4"/>
  </mergeCells>
  <pageMargins left="0.7" right="0.7" top="0.75" bottom="0.75" header="0.3" footer="0.3"/>
  <pageSetup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O42"/>
  <sheetViews>
    <sheetView showGridLines="0" topLeftCell="A12" zoomScale="70" zoomScaleNormal="70" workbookViewId="0">
      <selection activeCell="B14" sqref="B14"/>
    </sheetView>
  </sheetViews>
  <sheetFormatPr baseColWidth="10" defaultRowHeight="15" x14ac:dyDescent="0.25"/>
  <cols>
    <col min="1" max="1" width="23" customWidth="1"/>
  </cols>
  <sheetData>
    <row r="1" spans="1:15" s="84" customFormat="1" x14ac:dyDescent="0.25">
      <c r="C1" s="206" t="s">
        <v>10</v>
      </c>
      <c r="D1" s="206"/>
      <c r="E1" s="206"/>
      <c r="F1" s="206"/>
      <c r="G1" s="206"/>
      <c r="H1" s="206"/>
      <c r="I1" s="206"/>
    </row>
    <row r="2" spans="1:15" s="84" customFormat="1" x14ac:dyDescent="0.25">
      <c r="C2" s="206"/>
      <c r="D2" s="206"/>
      <c r="E2" s="206"/>
      <c r="F2" s="206"/>
      <c r="G2" s="206"/>
      <c r="H2" s="206"/>
      <c r="I2" s="206"/>
    </row>
    <row r="3" spans="1:15" s="84" customFormat="1" x14ac:dyDescent="0.25">
      <c r="C3" s="206" t="s">
        <v>11</v>
      </c>
      <c r="D3" s="206"/>
      <c r="E3" s="206"/>
      <c r="F3" s="206"/>
      <c r="G3" s="206"/>
      <c r="H3" s="206"/>
      <c r="I3" s="206"/>
    </row>
    <row r="4" spans="1:15" s="84" customFormat="1" x14ac:dyDescent="0.25">
      <c r="C4" s="206"/>
      <c r="D4" s="206"/>
      <c r="E4" s="206"/>
      <c r="F4" s="206"/>
      <c r="G4" s="206"/>
      <c r="H4" s="206"/>
      <c r="I4" s="206"/>
    </row>
    <row r="5" spans="1:15" s="84" customFormat="1" x14ac:dyDescent="0.25"/>
    <row r="6" spans="1:15" s="84" customFormat="1" x14ac:dyDescent="0.25"/>
    <row r="7" spans="1:15" s="84" customFormat="1" x14ac:dyDescent="0.25"/>
    <row r="8" spans="1:15" s="84" customFormat="1" x14ac:dyDescent="0.25"/>
    <row r="9" spans="1:15" s="84" customFormat="1" x14ac:dyDescent="0.25"/>
    <row r="10" spans="1:15" s="85" customFormat="1" x14ac:dyDescent="0.25"/>
    <row r="11" spans="1:15" s="85" customFormat="1" ht="15" customHeight="1" x14ac:dyDescent="0.3">
      <c r="A11" s="94" t="s">
        <v>202</v>
      </c>
      <c r="D11" s="115"/>
      <c r="E11" s="115"/>
      <c r="F11" s="115"/>
      <c r="G11" s="115"/>
      <c r="H11" s="115"/>
      <c r="I11" s="115"/>
      <c r="J11" s="115"/>
      <c r="K11" s="115"/>
      <c r="L11" s="115"/>
      <c r="M11" s="115"/>
      <c r="N11" s="115"/>
      <c r="O11" s="115"/>
    </row>
    <row r="12" spans="1:15" s="85" customFormat="1" ht="15" customHeight="1" x14ac:dyDescent="0.25">
      <c r="D12" s="115"/>
      <c r="E12" s="115"/>
      <c r="F12" s="115"/>
      <c r="G12" s="115"/>
      <c r="H12" s="115"/>
      <c r="I12" s="115"/>
      <c r="J12" s="115"/>
      <c r="K12" s="115"/>
      <c r="L12" s="115"/>
      <c r="M12" s="115"/>
      <c r="N12" s="115"/>
      <c r="O12" s="115"/>
    </row>
    <row r="13" spans="1:15" s="85" customFormat="1" ht="35.25" customHeight="1" x14ac:dyDescent="0.25">
      <c r="A13" s="185" t="s">
        <v>100</v>
      </c>
      <c r="B13" s="87">
        <v>25</v>
      </c>
      <c r="C13" s="165" t="s">
        <v>111</v>
      </c>
      <c r="D13" s="93"/>
      <c r="E13" s="93"/>
      <c r="F13" s="93"/>
      <c r="G13" s="93"/>
      <c r="H13" s="93"/>
      <c r="I13" s="93"/>
      <c r="J13" s="93"/>
      <c r="K13" s="93"/>
      <c r="N13" s="115"/>
      <c r="O13" s="115"/>
    </row>
    <row r="14" spans="1:15" s="85" customFormat="1" ht="15" customHeight="1" x14ac:dyDescent="0.25">
      <c r="D14" s="93"/>
      <c r="E14" s="93"/>
      <c r="F14" s="93"/>
      <c r="G14" s="93"/>
      <c r="H14" s="93"/>
      <c r="I14" s="93"/>
      <c r="J14" s="93"/>
      <c r="K14" s="93"/>
    </row>
    <row r="15" spans="1:15" s="85" customFormat="1" ht="15" customHeight="1" x14ac:dyDescent="0.25">
      <c r="B15" s="83"/>
      <c r="C15" s="83"/>
      <c r="D15" s="93"/>
      <c r="E15" s="93"/>
      <c r="F15" s="93"/>
      <c r="G15" s="93"/>
      <c r="H15" s="93"/>
      <c r="I15" s="93"/>
      <c r="J15" s="93"/>
      <c r="K15" s="93"/>
      <c r="N15" s="115"/>
      <c r="O15" s="115"/>
    </row>
    <row r="16" spans="1:15" s="85" customFormat="1" ht="15" customHeight="1" x14ac:dyDescent="0.25">
      <c r="B16" s="98"/>
      <c r="C16" s="98"/>
      <c r="D16" s="98"/>
      <c r="E16" s="98"/>
      <c r="F16" s="98"/>
      <c r="G16" s="115"/>
      <c r="H16" s="115"/>
      <c r="I16" s="115"/>
      <c r="J16" s="115"/>
      <c r="N16" s="115"/>
      <c r="O16" s="115"/>
    </row>
    <row r="17" spans="1:15" s="85" customFormat="1" ht="15" customHeight="1" x14ac:dyDescent="0.25">
      <c r="N17" s="115"/>
      <c r="O17" s="115"/>
    </row>
    <row r="18" spans="1:15" s="85" customFormat="1" ht="15" customHeight="1" x14ac:dyDescent="0.25">
      <c r="N18" s="115"/>
      <c r="O18" s="115"/>
    </row>
    <row r="19" spans="1:15" s="85" customFormat="1" ht="15" customHeight="1" x14ac:dyDescent="0.25">
      <c r="N19" s="115"/>
      <c r="O19" s="115"/>
    </row>
    <row r="20" spans="1:15" s="85" customFormat="1" ht="15" customHeight="1" x14ac:dyDescent="0.25">
      <c r="N20" s="115"/>
      <c r="O20" s="115"/>
    </row>
    <row r="21" spans="1:15" s="85" customFormat="1" ht="15" customHeight="1" x14ac:dyDescent="0.25">
      <c r="A21"/>
      <c r="B21"/>
      <c r="C21"/>
      <c r="D21"/>
      <c r="E21"/>
      <c r="F21"/>
      <c r="G21"/>
      <c r="H21"/>
      <c r="I21"/>
      <c r="J21"/>
      <c r="N21" s="115"/>
      <c r="O21" s="115"/>
    </row>
    <row r="22" spans="1:15" s="85" customFormat="1" ht="15" customHeight="1" x14ac:dyDescent="0.25">
      <c r="A22"/>
      <c r="B22"/>
      <c r="C22"/>
      <c r="D22"/>
      <c r="E22"/>
      <c r="F22"/>
      <c r="G22"/>
      <c r="H22"/>
      <c r="I22"/>
      <c r="J22"/>
      <c r="N22" s="115"/>
      <c r="O22" s="115"/>
    </row>
    <row r="23" spans="1:15" s="85" customFormat="1" ht="15" customHeight="1" x14ac:dyDescent="0.25">
      <c r="A23"/>
      <c r="B23"/>
      <c r="C23"/>
      <c r="D23"/>
      <c r="E23"/>
      <c r="F23"/>
      <c r="G23"/>
      <c r="H23"/>
      <c r="I23"/>
      <c r="J23"/>
      <c r="N23" s="115"/>
      <c r="O23" s="115"/>
    </row>
    <row r="24" spans="1:15" s="85" customFormat="1" ht="15" customHeight="1" x14ac:dyDescent="0.25">
      <c r="A24"/>
      <c r="B24"/>
      <c r="C24"/>
      <c r="D24"/>
      <c r="E24"/>
      <c r="F24"/>
      <c r="G24"/>
      <c r="H24"/>
      <c r="I24"/>
      <c r="J24"/>
      <c r="N24" s="115"/>
      <c r="O24" s="115"/>
    </row>
    <row r="25" spans="1:15" s="85" customFormat="1" ht="15" customHeight="1" x14ac:dyDescent="0.25">
      <c r="A25"/>
      <c r="B25"/>
      <c r="C25"/>
      <c r="D25"/>
      <c r="E25"/>
      <c r="F25"/>
      <c r="G25"/>
      <c r="H25"/>
      <c r="I25"/>
      <c r="J25"/>
      <c r="N25" s="115"/>
      <c r="O25" s="115"/>
    </row>
    <row r="26" spans="1:15" s="85" customFormat="1" ht="15" customHeight="1" x14ac:dyDescent="0.25">
      <c r="A26"/>
      <c r="B26"/>
      <c r="C26"/>
      <c r="D26"/>
      <c r="E26"/>
      <c r="F26"/>
      <c r="G26"/>
      <c r="H26"/>
      <c r="I26"/>
      <c r="J26"/>
      <c r="N26" s="115"/>
      <c r="O26" s="115"/>
    </row>
    <row r="27" spans="1:15" s="85" customFormat="1" ht="15" customHeight="1" x14ac:dyDescent="0.25">
      <c r="N27" s="115"/>
      <c r="O27" s="115"/>
    </row>
    <row r="28" spans="1:15" s="85" customFormat="1" ht="15" customHeight="1" x14ac:dyDescent="0.25">
      <c r="N28" s="115"/>
      <c r="O28" s="115"/>
    </row>
    <row r="29" spans="1:15" s="85" customFormat="1" ht="15" customHeight="1" x14ac:dyDescent="0.25">
      <c r="N29" s="115"/>
      <c r="O29" s="115"/>
    </row>
    <row r="30" spans="1:15" s="85" customFormat="1" ht="15" customHeight="1" x14ac:dyDescent="0.25">
      <c r="N30" s="115"/>
      <c r="O30" s="115"/>
    </row>
    <row r="31" spans="1:15" s="85" customFormat="1" ht="15" customHeight="1" x14ac:dyDescent="0.25">
      <c r="A31"/>
      <c r="B31"/>
      <c r="C31"/>
      <c r="D31"/>
      <c r="E31"/>
      <c r="F31"/>
      <c r="G31"/>
      <c r="H31"/>
      <c r="I31"/>
      <c r="J31"/>
      <c r="N31" s="115"/>
      <c r="O31" s="115"/>
    </row>
    <row r="32" spans="1:15" s="85" customFormat="1" ht="15" customHeight="1" x14ac:dyDescent="0.25">
      <c r="A32"/>
      <c r="B32"/>
      <c r="C32"/>
      <c r="D32"/>
      <c r="E32"/>
      <c r="F32"/>
      <c r="G32"/>
      <c r="H32"/>
      <c r="I32"/>
      <c r="J32"/>
      <c r="K32" s="115"/>
      <c r="L32" s="115"/>
      <c r="M32" s="115"/>
      <c r="N32" s="115"/>
      <c r="O32" s="115"/>
    </row>
    <row r="33" spans="1:15" s="85" customFormat="1" ht="15" customHeight="1" x14ac:dyDescent="0.25">
      <c r="A33"/>
      <c r="B33"/>
      <c r="C33"/>
      <c r="D33"/>
      <c r="E33"/>
      <c r="F33"/>
      <c r="G33"/>
      <c r="H33"/>
      <c r="I33"/>
      <c r="J33"/>
      <c r="K33" s="115"/>
      <c r="L33" s="115"/>
      <c r="M33" s="115"/>
      <c r="N33" s="115"/>
      <c r="O33" s="115"/>
    </row>
    <row r="34" spans="1:15" s="85" customFormat="1" ht="15" customHeight="1" x14ac:dyDescent="0.25">
      <c r="A34"/>
      <c r="B34"/>
      <c r="C34"/>
      <c r="D34"/>
      <c r="E34"/>
      <c r="F34"/>
      <c r="G34"/>
      <c r="H34"/>
      <c r="I34"/>
      <c r="J34"/>
      <c r="K34" s="115"/>
      <c r="L34" s="115"/>
      <c r="M34" s="115"/>
      <c r="N34" s="115"/>
      <c r="O34" s="115"/>
    </row>
    <row r="35" spans="1:15" s="85" customFormat="1" ht="15" customHeight="1" x14ac:dyDescent="0.25">
      <c r="A35"/>
      <c r="B35"/>
      <c r="C35"/>
      <c r="D35"/>
      <c r="E35"/>
      <c r="F35"/>
      <c r="G35"/>
      <c r="H35"/>
      <c r="I35"/>
      <c r="J35"/>
      <c r="K35" s="118"/>
      <c r="L35" s="115"/>
      <c r="M35" s="115"/>
      <c r="N35" s="115"/>
      <c r="O35" s="115"/>
    </row>
    <row r="36" spans="1:15" s="85" customFormat="1" ht="15" customHeight="1" x14ac:dyDescent="0.25">
      <c r="A36"/>
      <c r="B36"/>
      <c r="C36"/>
      <c r="D36"/>
      <c r="E36"/>
      <c r="F36"/>
      <c r="G36"/>
      <c r="H36"/>
      <c r="I36"/>
      <c r="J36"/>
      <c r="K36" s="118"/>
      <c r="L36" s="115"/>
      <c r="M36" s="115"/>
      <c r="N36" s="115"/>
      <c r="O36" s="115"/>
    </row>
    <row r="37" spans="1:15" s="85" customFormat="1" ht="15" customHeight="1" x14ac:dyDescent="0.25">
      <c r="A37" s="211" t="s">
        <v>199</v>
      </c>
      <c r="B37" s="211"/>
      <c r="C37" s="98"/>
      <c r="D37" s="98"/>
      <c r="E37" s="98"/>
      <c r="F37" s="98"/>
      <c r="G37" s="98"/>
      <c r="H37"/>
      <c r="I37"/>
      <c r="J37"/>
      <c r="K37" s="118"/>
      <c r="L37" s="115"/>
      <c r="M37" s="115"/>
      <c r="N37" s="115"/>
      <c r="O37" s="115"/>
    </row>
    <row r="38" spans="1:15" s="85" customFormat="1" ht="15" customHeight="1" x14ac:dyDescent="0.25">
      <c r="A38"/>
      <c r="C38"/>
      <c r="D38"/>
      <c r="E38" s="127"/>
      <c r="F38" s="127"/>
      <c r="G38" s="127"/>
      <c r="H38"/>
      <c r="I38"/>
      <c r="J38"/>
      <c r="K38" s="118"/>
      <c r="L38" s="115"/>
      <c r="M38" s="115"/>
      <c r="N38" s="115"/>
      <c r="O38" s="115"/>
    </row>
    <row r="39" spans="1:15" s="85" customFormat="1" ht="15" customHeight="1" x14ac:dyDescent="0.25">
      <c r="A39"/>
      <c r="B39" s="96" t="s">
        <v>200</v>
      </c>
      <c r="C39" s="119">
        <v>0.17</v>
      </c>
      <c r="D39" s="98"/>
      <c r="E39" s="127"/>
      <c r="F39" s="127"/>
      <c r="G39" s="127"/>
      <c r="H39" s="115"/>
      <c r="I39" s="115"/>
      <c r="J39" s="115"/>
      <c r="K39" s="115"/>
      <c r="L39" s="115"/>
      <c r="M39" s="115"/>
      <c r="N39" s="115"/>
      <c r="O39" s="115"/>
    </row>
    <row r="40" spans="1:15" ht="15" customHeight="1" x14ac:dyDescent="0.25">
      <c r="B40" s="85"/>
      <c r="C40" s="98"/>
      <c r="D40" s="98"/>
      <c r="E40" s="127"/>
      <c r="F40" s="127"/>
      <c r="G40" s="127"/>
      <c r="H40" s="127"/>
      <c r="I40" s="127"/>
      <c r="J40" s="127"/>
      <c r="K40" s="127"/>
    </row>
    <row r="41" spans="1:15" ht="15.75" x14ac:dyDescent="0.25">
      <c r="H41" s="127"/>
      <c r="I41" s="127"/>
      <c r="J41" s="127"/>
      <c r="K41" s="127"/>
    </row>
    <row r="42" spans="1:15" ht="15.75" x14ac:dyDescent="0.25">
      <c r="H42" s="127"/>
      <c r="I42" s="127"/>
      <c r="J42" s="127"/>
      <c r="K42" s="127"/>
    </row>
  </sheetData>
  <mergeCells count="3">
    <mergeCell ref="C1:I2"/>
    <mergeCell ref="C3:I4"/>
    <mergeCell ref="A37:B37"/>
  </mergeCells>
  <pageMargins left="0.7" right="0.7" top="0.75" bottom="0.75" header="0.3" footer="0.3"/>
  <pageSetup scale="6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T59"/>
  <sheetViews>
    <sheetView showGridLines="0" topLeftCell="A34" zoomScale="70" zoomScaleNormal="70" zoomScaleSheetLayoutView="70" workbookViewId="0">
      <selection activeCell="D34" sqref="D34"/>
    </sheetView>
  </sheetViews>
  <sheetFormatPr baseColWidth="10" defaultRowHeight="15" x14ac:dyDescent="0.25"/>
  <cols>
    <col min="2" max="2" width="11.85546875" bestFit="1" customWidth="1"/>
  </cols>
  <sheetData>
    <row r="1" spans="1:20" s="5" customFormat="1" x14ac:dyDescent="0.25">
      <c r="A1" s="111"/>
      <c r="G1" s="214" t="s">
        <v>10</v>
      </c>
      <c r="H1" s="214"/>
      <c r="I1" s="214"/>
      <c r="J1" s="214"/>
      <c r="K1" s="214"/>
      <c r="L1" s="214"/>
      <c r="M1" s="214"/>
    </row>
    <row r="2" spans="1:20" s="5" customFormat="1" x14ac:dyDescent="0.25">
      <c r="G2" s="214"/>
      <c r="H2" s="214"/>
      <c r="I2" s="214"/>
      <c r="J2" s="214"/>
      <c r="K2" s="214"/>
      <c r="L2" s="214"/>
      <c r="M2" s="214"/>
    </row>
    <row r="3" spans="1:20" s="5" customFormat="1" x14ac:dyDescent="0.25">
      <c r="G3" s="214" t="s">
        <v>11</v>
      </c>
      <c r="H3" s="214"/>
      <c r="I3" s="214"/>
      <c r="J3" s="214"/>
      <c r="K3" s="214"/>
      <c r="L3" s="214"/>
      <c r="M3" s="214"/>
    </row>
    <row r="4" spans="1:20" s="5" customFormat="1" x14ac:dyDescent="0.25">
      <c r="G4" s="214"/>
      <c r="H4" s="214"/>
      <c r="I4" s="214"/>
      <c r="J4" s="214"/>
      <c r="K4" s="214"/>
      <c r="L4" s="214"/>
      <c r="M4" s="214"/>
    </row>
    <row r="5" spans="1:20" s="5" customFormat="1" x14ac:dyDescent="0.25"/>
    <row r="6" spans="1:20" s="5" customFormat="1" x14ac:dyDescent="0.25"/>
    <row r="7" spans="1:20" s="5" customFormat="1" x14ac:dyDescent="0.25"/>
    <row r="8" spans="1:20" s="5" customFormat="1" x14ac:dyDescent="0.25"/>
    <row r="9" spans="1:20" s="5" customFormat="1" x14ac:dyDescent="0.25"/>
    <row r="11" spans="1:20" ht="21" customHeight="1" x14ac:dyDescent="0.25">
      <c r="F11" s="212" t="s">
        <v>228</v>
      </c>
      <c r="G11" s="212"/>
      <c r="H11" s="212"/>
      <c r="I11" s="212"/>
      <c r="J11" s="212"/>
      <c r="K11" s="212"/>
      <c r="L11" s="212"/>
      <c r="M11" s="212"/>
    </row>
    <row r="12" spans="1:20" ht="21" customHeight="1" x14ac:dyDescent="0.25">
      <c r="F12" s="212"/>
      <c r="G12" s="212"/>
      <c r="H12" s="212"/>
      <c r="I12" s="212"/>
      <c r="J12" s="212"/>
      <c r="K12" s="212"/>
      <c r="L12" s="212"/>
      <c r="M12" s="212"/>
    </row>
    <row r="13" spans="1:20" ht="23.25" customHeight="1" x14ac:dyDescent="0.35">
      <c r="G13" s="213"/>
      <c r="H13" s="213"/>
      <c r="I13" s="213"/>
      <c r="J13" s="213"/>
      <c r="K13" s="213"/>
      <c r="L13" s="213"/>
    </row>
    <row r="14" spans="1:20" ht="15" customHeight="1" x14ac:dyDescent="0.25">
      <c r="A14" s="129"/>
      <c r="B14" s="129"/>
      <c r="C14" s="129"/>
      <c r="D14" s="129"/>
      <c r="E14" s="129"/>
      <c r="F14" s="129"/>
      <c r="G14" s="129"/>
      <c r="H14" s="129"/>
      <c r="I14" s="129"/>
      <c r="J14" s="129"/>
      <c r="K14" s="129"/>
      <c r="L14" s="129"/>
      <c r="M14" s="129"/>
      <c r="N14" s="129"/>
      <c r="O14" s="129"/>
      <c r="P14" s="129"/>
      <c r="Q14" s="129"/>
      <c r="R14" s="129"/>
      <c r="S14" s="129"/>
      <c r="T14" s="129"/>
    </row>
    <row r="15" spans="1:20" x14ac:dyDescent="0.25">
      <c r="A15" s="129"/>
      <c r="B15" s="129"/>
      <c r="C15" s="129"/>
      <c r="D15" s="129"/>
      <c r="E15" s="129"/>
      <c r="F15" s="129"/>
      <c r="G15" s="129"/>
      <c r="H15" s="129"/>
      <c r="I15" s="129"/>
      <c r="J15" s="129"/>
      <c r="K15" s="129"/>
      <c r="L15" s="129"/>
      <c r="M15" s="129"/>
      <c r="N15" s="129"/>
      <c r="O15" s="129"/>
      <c r="P15" s="129"/>
      <c r="Q15" s="129"/>
      <c r="R15" s="129"/>
      <c r="S15" s="129"/>
      <c r="T15" s="129"/>
    </row>
    <row r="17" spans="1:7" x14ac:dyDescent="0.25">
      <c r="A17" s="11" t="s">
        <v>101</v>
      </c>
    </row>
    <row r="18" spans="1:7" x14ac:dyDescent="0.25">
      <c r="A18" s="4" t="s">
        <v>105</v>
      </c>
      <c r="B18" s="50">
        <v>0</v>
      </c>
      <c r="C18" t="s">
        <v>8</v>
      </c>
    </row>
    <row r="19" spans="1:7" x14ac:dyDescent="0.25">
      <c r="A19" s="4" t="s">
        <v>119</v>
      </c>
      <c r="B19" s="50">
        <v>0</v>
      </c>
      <c r="C19" t="s">
        <v>8</v>
      </c>
    </row>
    <row r="20" spans="1:7" x14ac:dyDescent="0.25">
      <c r="A20" s="4" t="s">
        <v>106</v>
      </c>
      <c r="B20" s="50">
        <v>0</v>
      </c>
      <c r="C20" t="s">
        <v>7</v>
      </c>
    </row>
    <row r="21" spans="1:7" ht="17.25" x14ac:dyDescent="0.25">
      <c r="A21" s="100" t="s">
        <v>117</v>
      </c>
      <c r="B21" s="50">
        <v>0</v>
      </c>
      <c r="C21" s="5" t="s">
        <v>5</v>
      </c>
      <c r="D21" t="s">
        <v>118</v>
      </c>
    </row>
    <row r="22" spans="1:7" x14ac:dyDescent="0.25">
      <c r="A22" s="6" t="s">
        <v>113</v>
      </c>
      <c r="B22" s="50">
        <v>0</v>
      </c>
      <c r="C22" t="s">
        <v>6</v>
      </c>
      <c r="D22" t="s">
        <v>114</v>
      </c>
    </row>
    <row r="23" spans="1:7" x14ac:dyDescent="0.25">
      <c r="A23" s="4" t="s">
        <v>112</v>
      </c>
      <c r="B23" s="34">
        <f>(TAN(RADIANS(45-(B22/2))))^2</f>
        <v>0.99999999999999978</v>
      </c>
    </row>
    <row r="24" spans="1:7" ht="15.75" x14ac:dyDescent="0.25">
      <c r="A24" s="4" t="s">
        <v>107</v>
      </c>
      <c r="B24" s="99">
        <f>'CARGAS DISTRIBUIDAS'!B13</f>
        <v>25</v>
      </c>
      <c r="C24" s="48" t="s">
        <v>115</v>
      </c>
    </row>
    <row r="25" spans="1:7" x14ac:dyDescent="0.25">
      <c r="A25" s="4" t="s">
        <v>108</v>
      </c>
      <c r="B25" s="34">
        <f>0.5*(B23*B21*B20^2)</f>
        <v>0</v>
      </c>
      <c r="C25" t="s">
        <v>8</v>
      </c>
    </row>
    <row r="26" spans="1:7" x14ac:dyDescent="0.25">
      <c r="E26" s="4" t="s">
        <v>176</v>
      </c>
      <c r="F26" s="34">
        <f>(1/3)*B20</f>
        <v>0</v>
      </c>
      <c r="G26" t="s">
        <v>7</v>
      </c>
    </row>
    <row r="27" spans="1:7" x14ac:dyDescent="0.25">
      <c r="A27" s="4" t="s">
        <v>109</v>
      </c>
      <c r="B27" s="34">
        <f>B24*B23*B20</f>
        <v>0</v>
      </c>
      <c r="C27" t="s">
        <v>8</v>
      </c>
    </row>
    <row r="28" spans="1:7" x14ac:dyDescent="0.25">
      <c r="E28" s="4" t="s">
        <v>177</v>
      </c>
      <c r="F28" s="34">
        <f>0.5*B20</f>
        <v>0</v>
      </c>
      <c r="G28" t="s">
        <v>7</v>
      </c>
    </row>
    <row r="29" spans="1:7" x14ac:dyDescent="0.25">
      <c r="A29" s="4" t="s">
        <v>102</v>
      </c>
      <c r="B29" s="51">
        <v>0</v>
      </c>
      <c r="C29" t="s">
        <v>7</v>
      </c>
    </row>
    <row r="30" spans="1:7" x14ac:dyDescent="0.25">
      <c r="A30" s="4" t="s">
        <v>103</v>
      </c>
      <c r="B30" s="51">
        <v>0</v>
      </c>
      <c r="C30" t="s">
        <v>7</v>
      </c>
    </row>
    <row r="31" spans="1:7" x14ac:dyDescent="0.25">
      <c r="A31" s="4" t="s">
        <v>104</v>
      </c>
      <c r="B31" s="34">
        <f>IF(B19=0,0,(((B19*(0.5*B30)-((B25*F26)+(B18*B20)+(B27*F28))))/B19))</f>
        <v>0</v>
      </c>
      <c r="C31" t="s">
        <v>7</v>
      </c>
    </row>
    <row r="32" spans="1:7" x14ac:dyDescent="0.25">
      <c r="A32" s="4" t="s">
        <v>110</v>
      </c>
      <c r="B32" s="34">
        <f>IF(B31=0,0,((B29+B30-(2*B31))*TAN((RADIANS(45+(B22/2))))))</f>
        <v>0</v>
      </c>
      <c r="C32" t="s">
        <v>7</v>
      </c>
    </row>
    <row r="34" spans="1:14" ht="24.75" x14ac:dyDescent="0.45">
      <c r="C34" s="101" t="s">
        <v>178</v>
      </c>
      <c r="D34" s="112">
        <f>IF(B32=0,0,((B18+B25+B27)/B32))</f>
        <v>0</v>
      </c>
      <c r="E34" s="102" t="s">
        <v>179</v>
      </c>
    </row>
    <row r="43" spans="1:14" ht="19.5" customHeight="1" x14ac:dyDescent="0.25">
      <c r="G43" s="212" t="s">
        <v>206</v>
      </c>
      <c r="H43" s="212"/>
      <c r="I43" s="212"/>
      <c r="J43" s="212"/>
      <c r="K43" s="212"/>
      <c r="L43" s="212"/>
      <c r="M43" s="212"/>
      <c r="N43" s="212"/>
    </row>
    <row r="44" spans="1:14" ht="24" customHeight="1" x14ac:dyDescent="0.25">
      <c r="G44" s="212"/>
      <c r="H44" s="212"/>
      <c r="I44" s="212"/>
      <c r="J44" s="212"/>
      <c r="K44" s="212"/>
      <c r="L44" s="212"/>
      <c r="M44" s="212"/>
      <c r="N44" s="212"/>
    </row>
    <row r="48" spans="1:14" x14ac:dyDescent="0.25">
      <c r="A48" s="4" t="s">
        <v>119</v>
      </c>
      <c r="B48" s="50">
        <f>B19</f>
        <v>0</v>
      </c>
      <c r="C48" t="s">
        <v>8</v>
      </c>
    </row>
    <row r="49" spans="1:5" x14ac:dyDescent="0.25">
      <c r="A49" s="4" t="s">
        <v>103</v>
      </c>
      <c r="B49" s="51">
        <f>B30</f>
        <v>0</v>
      </c>
      <c r="C49" t="s">
        <v>7</v>
      </c>
    </row>
    <row r="50" spans="1:5" x14ac:dyDescent="0.25">
      <c r="A50" s="4" t="s">
        <v>207</v>
      </c>
      <c r="B50" s="51">
        <f>B29</f>
        <v>0</v>
      </c>
      <c r="C50" t="s">
        <v>7</v>
      </c>
    </row>
    <row r="51" spans="1:5" x14ac:dyDescent="0.25">
      <c r="A51" s="4" t="s">
        <v>208</v>
      </c>
      <c r="B51" t="s">
        <v>209</v>
      </c>
    </row>
    <row r="52" spans="1:5" x14ac:dyDescent="0.25">
      <c r="A52" s="4" t="s">
        <v>208</v>
      </c>
      <c r="B52">
        <f>(2*B50)-B49</f>
        <v>0</v>
      </c>
      <c r="C52" t="s">
        <v>7</v>
      </c>
    </row>
    <row r="53" spans="1:5" x14ac:dyDescent="0.25">
      <c r="A53" s="4" t="s">
        <v>210</v>
      </c>
      <c r="B53">
        <f>IF(B49=0,0,IF('GEOMETRIA DEL MURO'!BL9&lt;=B52,B49+'GEOMETRIA DEL MURO'!F10,(((B49+'GEOMETRIA DEL MURO'!F10)/2)+B50)))</f>
        <v>0</v>
      </c>
      <c r="C53" t="s">
        <v>7</v>
      </c>
    </row>
    <row r="59" spans="1:5" ht="24.75" x14ac:dyDescent="0.45">
      <c r="C59" s="101" t="s">
        <v>211</v>
      </c>
      <c r="D59" s="113">
        <f>IF(B48=0,0,B48/(B53*('GEOMETRIA DEL MURO'!F12+'GEOMETRIA DEL MURO'!F10)))</f>
        <v>0</v>
      </c>
      <c r="E59" s="102" t="s">
        <v>179</v>
      </c>
    </row>
  </sheetData>
  <mergeCells count="5">
    <mergeCell ref="G43:N44"/>
    <mergeCell ref="G13:L13"/>
    <mergeCell ref="G1:M2"/>
    <mergeCell ref="G3:M4"/>
    <mergeCell ref="F11:M12"/>
  </mergeCells>
  <pageMargins left="0.7" right="0.7" top="0.75" bottom="0.75" header="0.3" footer="0.3"/>
  <pageSetup scale="3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L240"/>
  <sheetViews>
    <sheetView showGridLines="0" topLeftCell="A214" zoomScale="70" zoomScaleNormal="70" zoomScaleSheetLayoutView="70" zoomScalePageLayoutView="80" workbookViewId="0">
      <selection activeCell="D235" sqref="D235"/>
    </sheetView>
  </sheetViews>
  <sheetFormatPr baseColWidth="10" defaultRowHeight="15" x14ac:dyDescent="0.25"/>
  <cols>
    <col min="4" max="4" width="11.85546875" bestFit="1" customWidth="1"/>
    <col min="5" max="5" width="13.5703125" bestFit="1" customWidth="1"/>
  </cols>
  <sheetData>
    <row r="1" spans="1:9" s="5" customFormat="1" x14ac:dyDescent="0.25">
      <c r="C1" s="214" t="s">
        <v>10</v>
      </c>
      <c r="D1" s="214"/>
      <c r="E1" s="214"/>
      <c r="F1" s="214"/>
      <c r="G1" s="214"/>
      <c r="H1" s="214"/>
      <c r="I1" s="214"/>
    </row>
    <row r="2" spans="1:9" s="5" customFormat="1" x14ac:dyDescent="0.25">
      <c r="C2" s="214"/>
      <c r="D2" s="214"/>
      <c r="E2" s="214"/>
      <c r="F2" s="214"/>
      <c r="G2" s="214"/>
      <c r="H2" s="214"/>
      <c r="I2" s="214"/>
    </row>
    <row r="3" spans="1:9" s="5" customFormat="1" x14ac:dyDescent="0.25">
      <c r="C3" s="214" t="s">
        <v>11</v>
      </c>
      <c r="D3" s="214"/>
      <c r="E3" s="214"/>
      <c r="F3" s="214"/>
      <c r="G3" s="214"/>
      <c r="H3" s="214"/>
      <c r="I3" s="214"/>
    </row>
    <row r="4" spans="1:9" s="5" customFormat="1" x14ac:dyDescent="0.25">
      <c r="C4" s="214"/>
      <c r="D4" s="214"/>
      <c r="E4" s="214"/>
      <c r="F4" s="214"/>
      <c r="G4" s="214"/>
      <c r="H4" s="214"/>
      <c r="I4" s="214"/>
    </row>
    <row r="5" spans="1:9" s="5" customFormat="1" x14ac:dyDescent="0.25"/>
    <row r="6" spans="1:9" s="5" customFormat="1" x14ac:dyDescent="0.25"/>
    <row r="7" spans="1:9" s="5" customFormat="1" x14ac:dyDescent="0.25"/>
    <row r="8" spans="1:9" s="5" customFormat="1" x14ac:dyDescent="0.25"/>
    <row r="9" spans="1:9" s="5" customFormat="1" x14ac:dyDescent="0.25"/>
    <row r="11" spans="1:9" ht="21" customHeight="1" x14ac:dyDescent="0.35">
      <c r="D11" s="217" t="s">
        <v>64</v>
      </c>
      <c r="E11" s="217"/>
      <c r="F11" s="217"/>
      <c r="G11" s="217"/>
      <c r="H11" s="217"/>
      <c r="I11" s="217"/>
    </row>
    <row r="12" spans="1:9" ht="21" x14ac:dyDescent="0.35">
      <c r="E12" s="213" t="s">
        <v>32</v>
      </c>
      <c r="F12" s="213"/>
      <c r="G12" s="213"/>
      <c r="H12" s="213"/>
    </row>
    <row r="13" spans="1:9" ht="18.75" x14ac:dyDescent="0.3">
      <c r="A13" s="8" t="s">
        <v>220</v>
      </c>
    </row>
    <row r="33" spans="1:10" ht="18.75" x14ac:dyDescent="0.3">
      <c r="A33" s="8" t="s">
        <v>27</v>
      </c>
      <c r="B33" s="13"/>
      <c r="C33" s="13"/>
      <c r="D33" s="13"/>
      <c r="E33" s="13"/>
      <c r="F33" s="13"/>
      <c r="G33" s="13"/>
      <c r="H33" s="13"/>
      <c r="I33" s="13"/>
    </row>
    <row r="35" spans="1:10" ht="15" customHeight="1" x14ac:dyDescent="0.25">
      <c r="A35" s="216" t="s">
        <v>165</v>
      </c>
      <c r="B35" s="216"/>
      <c r="C35" s="216"/>
      <c r="D35" s="216"/>
      <c r="E35" s="216"/>
      <c r="F35" s="216"/>
      <c r="G35" s="216"/>
      <c r="H35" s="216"/>
      <c r="I35" s="216"/>
      <c r="J35" s="216"/>
    </row>
    <row r="39" spans="1:10" x14ac:dyDescent="0.25">
      <c r="C39" s="10" t="s">
        <v>13</v>
      </c>
      <c r="D39" s="12">
        <f>((SIN(RADIANS('GEOMETRIA DEL MURO'!F16+'PROPIEDADES DE LOS SUELOS'!C21)))^2)/(((SIN(RADIANS('GEOMETRIA DEL MURO'!F16)))^2)*(SIN(RADIANS('GEOMETRIA DEL MURO'!F16-'GEOMETRIA DEL MURO'!F18)))*(1+((((SIN(RADIANS('PROPIEDADES DE LOS SUELOS'!C21+'GEOMETRIA DEL MURO'!F18)))*(SIN(RADIANS('PROPIEDADES DE LOS SUELOS'!C21-'GEOMETRIA DEL MURO'!F18))))/((SIN(RADIANS('GEOMETRIA DEL MURO'!F16-'GEOMETRIA DEL MURO'!F18)))*(SIN(RADIANS('GEOMETRIA DEL MURO'!F16+'GEOMETRIA DEL MURO'!F18)))))^(1/2)))^2)</f>
        <v>0.33333333333333337</v>
      </c>
    </row>
    <row r="41" spans="1:10" x14ac:dyDescent="0.25">
      <c r="B41" t="s">
        <v>14</v>
      </c>
    </row>
    <row r="45" spans="1:10" x14ac:dyDescent="0.25">
      <c r="C45" s="10" t="s">
        <v>12</v>
      </c>
      <c r="D45" s="12">
        <f>(0.5*D39*'PROPIEDADES DE LOS SUELOS'!C19*('GEOMETRIA DEL MURO'!F10^2))</f>
        <v>41.738700000000009</v>
      </c>
      <c r="E45" s="11" t="s">
        <v>8</v>
      </c>
    </row>
    <row r="47" spans="1:10" x14ac:dyDescent="0.25">
      <c r="B47" t="s">
        <v>15</v>
      </c>
    </row>
    <row r="51" spans="1:5" ht="18" x14ac:dyDescent="0.35">
      <c r="C51" s="10" t="s">
        <v>18</v>
      </c>
      <c r="D51" s="12">
        <f>(1/3)*'GEOMETRIA DEL MURO'!F10</f>
        <v>1.2433333333333332</v>
      </c>
      <c r="E51" s="11" t="s">
        <v>9</v>
      </c>
    </row>
    <row r="53" spans="1:5" ht="18.75" x14ac:dyDescent="0.3">
      <c r="A53" s="16" t="s">
        <v>166</v>
      </c>
    </row>
    <row r="55" spans="1:5" x14ac:dyDescent="0.25">
      <c r="B55" t="s">
        <v>16</v>
      </c>
    </row>
    <row r="59" spans="1:5" x14ac:dyDescent="0.25">
      <c r="C59" s="10" t="s">
        <v>41</v>
      </c>
      <c r="D59" s="12">
        <f>'CARGAS DISTRIBUIDAS'!B13*'MC ANALISIS EXTERNO'!D39*'GEOMETRIA DEL MURO'!F10</f>
        <v>31.083333333333336</v>
      </c>
      <c r="E59" s="11" t="s">
        <v>8</v>
      </c>
    </row>
    <row r="61" spans="1:5" x14ac:dyDescent="0.25">
      <c r="B61" t="s">
        <v>17</v>
      </c>
    </row>
    <row r="65" spans="1:5" ht="18" x14ac:dyDescent="0.35">
      <c r="C65" s="10" t="s">
        <v>19</v>
      </c>
      <c r="D65" s="12">
        <f>(1/2)*'GEOMETRIA DEL MURO'!F10</f>
        <v>1.865</v>
      </c>
      <c r="E65" s="11" t="s">
        <v>9</v>
      </c>
    </row>
    <row r="67" spans="1:5" ht="18.75" x14ac:dyDescent="0.3">
      <c r="A67" s="8" t="s">
        <v>28</v>
      </c>
    </row>
    <row r="71" spans="1:5" x14ac:dyDescent="0.25">
      <c r="A71" t="s">
        <v>29</v>
      </c>
    </row>
    <row r="72" spans="1:5" x14ac:dyDescent="0.25">
      <c r="A72" s="14" t="s">
        <v>20</v>
      </c>
      <c r="B72" s="131">
        <f>'CARGAS DISTRIBUIDAS'!C39</f>
        <v>0.17</v>
      </c>
    </row>
    <row r="74" spans="1:5" x14ac:dyDescent="0.25">
      <c r="A74" t="s">
        <v>22</v>
      </c>
    </row>
    <row r="75" spans="1:5" x14ac:dyDescent="0.25">
      <c r="B75" s="4" t="s">
        <v>21</v>
      </c>
      <c r="C75" s="7">
        <f>(1.45-B72)*B72</f>
        <v>0.21760000000000002</v>
      </c>
    </row>
    <row r="77" spans="1:5" ht="18" x14ac:dyDescent="0.35">
      <c r="B77" s="5" t="s">
        <v>24</v>
      </c>
    </row>
    <row r="80" spans="1:5" ht="18" x14ac:dyDescent="0.35">
      <c r="C80" s="10" t="s">
        <v>23</v>
      </c>
      <c r="D80" s="12">
        <f>(0.5*C75*'PROPIEDADES DE LOS SUELOS'!C24*('GEOMETRIA DEL MURO'!F10^2))</f>
        <v>27.247023360000004</v>
      </c>
      <c r="E80" s="11" t="s">
        <v>8</v>
      </c>
    </row>
    <row r="82" spans="2:5" ht="18" x14ac:dyDescent="0.35">
      <c r="B82" s="5" t="s">
        <v>26</v>
      </c>
    </row>
    <row r="83" spans="2:5" x14ac:dyDescent="0.25">
      <c r="B83" s="5"/>
    </row>
    <row r="86" spans="2:5" s="11" customFormat="1" ht="18" x14ac:dyDescent="0.35">
      <c r="C86" s="10" t="s">
        <v>25</v>
      </c>
      <c r="D86" s="12">
        <f>'GEOMETRIA DEL MURO'!F10/2</f>
        <v>1.865</v>
      </c>
      <c r="E86" s="11" t="s">
        <v>9</v>
      </c>
    </row>
    <row r="88" spans="2:5" ht="18" x14ac:dyDescent="0.35">
      <c r="B88" t="s">
        <v>173</v>
      </c>
    </row>
    <row r="91" spans="2:5" s="11" customFormat="1" ht="18" x14ac:dyDescent="0.35">
      <c r="C91" s="10" t="s">
        <v>30</v>
      </c>
      <c r="D91" s="12">
        <f>50%*(0.375*C75*'PROPIEDADES DE LOS SUELOS'!C19*('GEOMETRIA DEL MURO'!F10^2))</f>
        <v>10.217633760000002</v>
      </c>
      <c r="E91" s="11" t="s">
        <v>8</v>
      </c>
    </row>
    <row r="93" spans="2:5" ht="18" x14ac:dyDescent="0.35">
      <c r="B93" t="s">
        <v>54</v>
      </c>
    </row>
    <row r="97" spans="1:10" ht="18" x14ac:dyDescent="0.35">
      <c r="C97" s="10" t="s">
        <v>31</v>
      </c>
      <c r="D97" s="12">
        <f>0.6*'GEOMETRIA DEL MURO'!F10</f>
        <v>2.238</v>
      </c>
      <c r="E97" s="11" t="s">
        <v>9</v>
      </c>
    </row>
    <row r="98" spans="1:10" x14ac:dyDescent="0.25">
      <c r="C98" s="10"/>
      <c r="D98" s="12"/>
      <c r="E98" s="11"/>
    </row>
    <row r="99" spans="1:10" ht="15.75" thickBot="1" x14ac:dyDescent="0.3">
      <c r="A99" t="s">
        <v>34</v>
      </c>
      <c r="C99" s="10"/>
      <c r="D99" s="12"/>
      <c r="E99" s="11"/>
    </row>
    <row r="100" spans="1:10" ht="45" x14ac:dyDescent="0.25">
      <c r="C100" s="21" t="s">
        <v>36</v>
      </c>
      <c r="D100" s="25" t="s">
        <v>39</v>
      </c>
      <c r="E100" s="26" t="s">
        <v>40</v>
      </c>
    </row>
    <row r="101" spans="1:10" ht="45" x14ac:dyDescent="0.25">
      <c r="C101" s="22" t="s">
        <v>35</v>
      </c>
      <c r="D101" s="20">
        <f>D45</f>
        <v>41.738700000000009</v>
      </c>
      <c r="E101" s="23">
        <f>D51</f>
        <v>1.2433333333333332</v>
      </c>
    </row>
    <row r="102" spans="1:10" x14ac:dyDescent="0.25">
      <c r="A102" s="5"/>
      <c r="C102" s="22" t="s">
        <v>37</v>
      </c>
      <c r="D102" s="27">
        <f>D59</f>
        <v>31.083333333333336</v>
      </c>
      <c r="E102" s="28">
        <f>D65</f>
        <v>1.865</v>
      </c>
      <c r="F102" s="17"/>
      <c r="G102" s="17"/>
      <c r="H102" s="17"/>
      <c r="I102" s="5"/>
      <c r="J102" s="5"/>
    </row>
    <row r="103" spans="1:10" ht="60" x14ac:dyDescent="0.25">
      <c r="A103" s="5"/>
      <c r="C103" s="22" t="s">
        <v>38</v>
      </c>
      <c r="D103" s="27">
        <f>D80</f>
        <v>27.247023360000004</v>
      </c>
      <c r="E103" s="28">
        <f>D86</f>
        <v>1.865</v>
      </c>
      <c r="F103" s="17"/>
      <c r="G103" s="17"/>
      <c r="H103" s="17"/>
      <c r="I103" s="5"/>
      <c r="J103" s="5"/>
    </row>
    <row r="104" spans="1:10" ht="75.75" thickBot="1" x14ac:dyDescent="0.3">
      <c r="A104" s="5"/>
      <c r="C104" s="24" t="s">
        <v>55</v>
      </c>
      <c r="D104" s="29">
        <f>D91</f>
        <v>10.217633760000002</v>
      </c>
      <c r="E104" s="30">
        <f>D97</f>
        <v>2.238</v>
      </c>
      <c r="F104" s="17"/>
      <c r="G104" s="17"/>
      <c r="H104" s="17"/>
      <c r="I104" s="5"/>
      <c r="J104" s="5"/>
    </row>
    <row r="105" spans="1:10" x14ac:dyDescent="0.25">
      <c r="A105" s="5"/>
      <c r="B105" s="17"/>
      <c r="C105" s="17"/>
      <c r="D105" s="17"/>
      <c r="E105" s="17"/>
      <c r="F105" s="17"/>
      <c r="G105" s="17"/>
      <c r="H105" s="17"/>
      <c r="I105" s="5"/>
      <c r="J105" s="5"/>
    </row>
    <row r="106" spans="1:10" ht="21" customHeight="1" x14ac:dyDescent="0.35">
      <c r="C106" s="217" t="s">
        <v>64</v>
      </c>
      <c r="D106" s="217"/>
      <c r="E106" s="217"/>
      <c r="F106" s="217"/>
      <c r="G106" s="217"/>
      <c r="H106" s="217"/>
    </row>
    <row r="107" spans="1:10" ht="21" x14ac:dyDescent="0.35">
      <c r="D107" s="213" t="s">
        <v>33</v>
      </c>
      <c r="E107" s="213"/>
      <c r="F107" s="213"/>
      <c r="G107" s="213"/>
    </row>
    <row r="108" spans="1:10" x14ac:dyDescent="0.25">
      <c r="A108" s="5"/>
      <c r="B108" s="5"/>
      <c r="C108" s="5"/>
      <c r="D108" s="5"/>
      <c r="E108" s="5"/>
      <c r="F108" s="5"/>
      <c r="G108" s="5"/>
      <c r="H108" s="5"/>
      <c r="I108" s="5"/>
      <c r="J108" s="5"/>
    </row>
    <row r="109" spans="1:10" x14ac:dyDescent="0.25">
      <c r="A109" s="5"/>
      <c r="B109" s="5"/>
      <c r="C109" s="5"/>
      <c r="D109" s="5"/>
      <c r="E109" s="5"/>
      <c r="F109" s="5"/>
      <c r="G109" s="5"/>
      <c r="H109" s="5"/>
      <c r="I109" s="5"/>
      <c r="J109" s="5"/>
    </row>
    <row r="110" spans="1:10" x14ac:dyDescent="0.25">
      <c r="A110" s="5"/>
      <c r="B110" s="5"/>
      <c r="C110" s="5"/>
      <c r="D110" s="5"/>
      <c r="E110" s="5"/>
      <c r="F110" s="5"/>
      <c r="G110" s="5"/>
      <c r="H110" s="5"/>
      <c r="I110" s="5"/>
      <c r="J110" s="5"/>
    </row>
    <row r="112" spans="1:10" ht="15" customHeight="1" x14ac:dyDescent="0.35">
      <c r="C112" s="18"/>
      <c r="D112" s="18"/>
      <c r="E112" s="18"/>
      <c r="F112" s="18"/>
      <c r="G112" s="18"/>
      <c r="H112" s="18"/>
    </row>
    <row r="113" spans="1:7" ht="15" customHeight="1" x14ac:dyDescent="0.35">
      <c r="D113" s="19"/>
      <c r="E113" s="19"/>
      <c r="F113" s="19"/>
      <c r="G113" s="19"/>
    </row>
    <row r="114" spans="1:7" ht="18.75" x14ac:dyDescent="0.3">
      <c r="A114" s="8"/>
    </row>
    <row r="125" spans="1:7" x14ac:dyDescent="0.25">
      <c r="D125" s="10" t="s">
        <v>1</v>
      </c>
      <c r="E125" s="95">
        <f>'GEOMETRIA DEL MURO'!F12</f>
        <v>4.3</v>
      </c>
      <c r="F125" s="11" t="s">
        <v>9</v>
      </c>
    </row>
    <row r="127" spans="1:7" ht="18.75" x14ac:dyDescent="0.3">
      <c r="A127" s="8" t="s">
        <v>45</v>
      </c>
    </row>
    <row r="129" spans="1:9" ht="18" x14ac:dyDescent="0.35">
      <c r="B129" t="s">
        <v>167</v>
      </c>
    </row>
    <row r="132" spans="1:9" ht="18" x14ac:dyDescent="0.35">
      <c r="C132" s="10" t="s">
        <v>42</v>
      </c>
      <c r="D132" s="12">
        <f>'PROPIEDADES DE LOS SUELOS'!C24*'GEOMETRIA DEL MURO'!F10*E125</f>
        <v>288.702</v>
      </c>
      <c r="E132" s="11" t="s">
        <v>8</v>
      </c>
    </row>
    <row r="134" spans="1:9" ht="15" customHeight="1" x14ac:dyDescent="0.3">
      <c r="A134" s="8"/>
      <c r="B134" s="13" t="s">
        <v>43</v>
      </c>
      <c r="C134" s="13"/>
      <c r="D134" s="13"/>
      <c r="E134" s="13"/>
      <c r="F134" s="13"/>
      <c r="G134" s="13"/>
      <c r="H134" s="13"/>
      <c r="I134" s="13"/>
    </row>
    <row r="136" spans="1:9" x14ac:dyDescent="0.25">
      <c r="B136" s="6"/>
      <c r="C136" s="9"/>
    </row>
    <row r="137" spans="1:9" ht="18" x14ac:dyDescent="0.35">
      <c r="C137" s="10" t="s">
        <v>44</v>
      </c>
      <c r="D137" s="12">
        <f>0.5*E125</f>
        <v>2.15</v>
      </c>
      <c r="E137" s="11" t="s">
        <v>9</v>
      </c>
    </row>
    <row r="139" spans="1:9" ht="18.75" x14ac:dyDescent="0.3">
      <c r="A139" s="8" t="s">
        <v>168</v>
      </c>
    </row>
    <row r="140" spans="1:9" x14ac:dyDescent="0.25">
      <c r="C140" s="10"/>
      <c r="D140" s="12"/>
    </row>
    <row r="141" spans="1:9" x14ac:dyDescent="0.25">
      <c r="B141" t="s">
        <v>46</v>
      </c>
    </row>
    <row r="144" spans="1:9" ht="18" x14ac:dyDescent="0.35">
      <c r="C144" s="10" t="s">
        <v>48</v>
      </c>
      <c r="D144" s="12">
        <f>'CARGAS DISTRIBUIDAS'!B13*E125</f>
        <v>107.5</v>
      </c>
      <c r="E144" s="11" t="s">
        <v>8</v>
      </c>
    </row>
    <row r="146" spans="1:9" ht="15" customHeight="1" x14ac:dyDescent="0.3">
      <c r="A146" s="8"/>
      <c r="B146" s="13" t="s">
        <v>47</v>
      </c>
      <c r="C146" s="13"/>
      <c r="D146" s="13"/>
      <c r="E146" s="13"/>
      <c r="F146" s="13"/>
      <c r="G146" s="13"/>
      <c r="H146" s="13"/>
      <c r="I146" s="13"/>
    </row>
    <row r="148" spans="1:9" x14ac:dyDescent="0.25">
      <c r="B148" s="6"/>
      <c r="C148" s="9"/>
    </row>
    <row r="149" spans="1:9" ht="18" x14ac:dyDescent="0.35">
      <c r="C149" s="10" t="s">
        <v>49</v>
      </c>
      <c r="D149" s="11">
        <f>0.5*E125</f>
        <v>2.15</v>
      </c>
      <c r="E149" s="11" t="s">
        <v>9</v>
      </c>
    </row>
    <row r="151" spans="1:9" ht="18.75" x14ac:dyDescent="0.3">
      <c r="A151" s="8" t="s">
        <v>50</v>
      </c>
    </row>
    <row r="152" spans="1:9" x14ac:dyDescent="0.25">
      <c r="C152" s="10"/>
      <c r="D152" s="12"/>
      <c r="E152" s="11"/>
    </row>
    <row r="153" spans="1:9" x14ac:dyDescent="0.25">
      <c r="B153" t="s">
        <v>51</v>
      </c>
    </row>
    <row r="154" spans="1:9" ht="15" customHeight="1" x14ac:dyDescent="0.3">
      <c r="A154" s="16"/>
    </row>
    <row r="156" spans="1:9" x14ac:dyDescent="0.25">
      <c r="C156" s="10" t="s">
        <v>53</v>
      </c>
      <c r="D156" s="12">
        <f>D132+D144</f>
        <v>396.202</v>
      </c>
      <c r="E156" s="11" t="s">
        <v>8</v>
      </c>
    </row>
    <row r="157" spans="1:9" x14ac:dyDescent="0.25">
      <c r="B157" t="s">
        <v>52</v>
      </c>
    </row>
    <row r="159" spans="1:9" x14ac:dyDescent="0.25">
      <c r="B159" t="s">
        <v>56</v>
      </c>
    </row>
    <row r="160" spans="1:9" x14ac:dyDescent="0.25">
      <c r="C160" s="10"/>
      <c r="D160" s="12"/>
      <c r="E160" s="11"/>
    </row>
    <row r="164" spans="1:5" x14ac:dyDescent="0.25">
      <c r="B164" t="s">
        <v>57</v>
      </c>
    </row>
    <row r="166" spans="1:5" x14ac:dyDescent="0.25">
      <c r="C166" s="10"/>
      <c r="D166" s="12"/>
      <c r="E166" s="11"/>
    </row>
    <row r="168" spans="1:5" ht="19.5" x14ac:dyDescent="0.35">
      <c r="A168" s="8"/>
      <c r="C168" s="4" t="s">
        <v>58</v>
      </c>
      <c r="D168" s="34">
        <f>(D132*(E125/2))+(D144*(E125/2))</f>
        <v>851.83429999999998</v>
      </c>
      <c r="E168" t="s">
        <v>59</v>
      </c>
    </row>
    <row r="172" spans="1:5" ht="18" x14ac:dyDescent="0.35">
      <c r="C172" s="4" t="s">
        <v>72</v>
      </c>
      <c r="D172" s="34">
        <f>(D132*(E125/2))</f>
        <v>620.70929999999998</v>
      </c>
      <c r="E172" t="s">
        <v>59</v>
      </c>
    </row>
    <row r="176" spans="1:5" ht="18" x14ac:dyDescent="0.35">
      <c r="C176" s="4" t="s">
        <v>60</v>
      </c>
      <c r="D176" s="34">
        <f>(D45*D51)+(D59*D65)+(D80*D86)+(D91*D97)</f>
        <v>183.54829658794668</v>
      </c>
      <c r="E176" t="s">
        <v>59</v>
      </c>
    </row>
    <row r="177" spans="1:10" x14ac:dyDescent="0.25">
      <c r="A177" s="14"/>
      <c r="B177" s="15"/>
    </row>
    <row r="178" spans="1:10" x14ac:dyDescent="0.25">
      <c r="B178" t="s">
        <v>61</v>
      </c>
    </row>
    <row r="180" spans="1:10" x14ac:dyDescent="0.25">
      <c r="B180" s="4"/>
      <c r="C180" s="7"/>
    </row>
    <row r="182" spans="1:10" x14ac:dyDescent="0.25">
      <c r="B182" s="5"/>
      <c r="C182" s="10" t="s">
        <v>62</v>
      </c>
      <c r="D182" s="12">
        <f>IF(D132+D144=0,0,(E125/2)-((D168-D176)/(D132+D144)))</f>
        <v>0.46326948523214573</v>
      </c>
      <c r="E182" s="11" t="s">
        <v>9</v>
      </c>
    </row>
    <row r="184" spans="1:10" x14ac:dyDescent="0.25">
      <c r="B184" t="s">
        <v>93</v>
      </c>
    </row>
    <row r="185" spans="1:10" x14ac:dyDescent="0.25">
      <c r="B185" s="4" t="s">
        <v>63</v>
      </c>
      <c r="C185" s="10"/>
      <c r="D185" s="12"/>
      <c r="E185" s="11"/>
    </row>
    <row r="187" spans="1:10" x14ac:dyDescent="0.25">
      <c r="B187" s="5"/>
    </row>
    <row r="188" spans="1:10" ht="18.75" customHeight="1" x14ac:dyDescent="0.25">
      <c r="B188" s="5"/>
      <c r="D188" s="34">
        <f>E125/6</f>
        <v>0.71666666666666667</v>
      </c>
      <c r="E188" t="s">
        <v>7</v>
      </c>
      <c r="F188" s="215" t="str">
        <f>IF(D182&lt;=D188,"CUMPLE CONDICIÓN DE EXCENTRICIDAD","NO CUMPLE CONDICIÓN DE EXCENTRICIDAD, REQUIERE INCREMENTAR LONGITUD DE REFUERZO (L)")</f>
        <v>CUMPLE CONDICIÓN DE EXCENTRICIDAD</v>
      </c>
      <c r="G188" s="215"/>
      <c r="H188" s="215"/>
      <c r="I188" s="215"/>
      <c r="J188" s="215"/>
    </row>
    <row r="189" spans="1:10" ht="18.75" customHeight="1" x14ac:dyDescent="0.25">
      <c r="F189" s="215"/>
      <c r="G189" s="215"/>
      <c r="H189" s="215"/>
      <c r="I189" s="215"/>
      <c r="J189" s="215"/>
    </row>
    <row r="190" spans="1:10" x14ac:dyDescent="0.25">
      <c r="F190" s="215"/>
      <c r="G190" s="215"/>
      <c r="H190" s="215"/>
      <c r="I190" s="215"/>
      <c r="J190" s="215"/>
    </row>
    <row r="191" spans="1:10" ht="18.75" x14ac:dyDescent="0.3">
      <c r="F191" s="44"/>
      <c r="G191" s="44"/>
      <c r="H191" s="44"/>
      <c r="I191" s="44"/>
      <c r="J191" s="44"/>
    </row>
    <row r="192" spans="1:10" ht="23.25" x14ac:dyDescent="0.35">
      <c r="C192" s="217" t="s">
        <v>64</v>
      </c>
      <c r="D192" s="217"/>
      <c r="E192" s="217"/>
      <c r="F192" s="217"/>
      <c r="G192" s="217"/>
      <c r="H192" s="217"/>
      <c r="I192" s="11"/>
      <c r="J192" s="11"/>
    </row>
    <row r="193" spans="1:12" ht="21" x14ac:dyDescent="0.35">
      <c r="C193" s="213" t="s">
        <v>65</v>
      </c>
      <c r="D193" s="213"/>
      <c r="E193" s="213"/>
      <c r="F193" s="213"/>
      <c r="G193" s="213"/>
      <c r="H193" s="213"/>
    </row>
    <row r="195" spans="1:12" ht="18.75" x14ac:dyDescent="0.3">
      <c r="A195" s="8" t="s">
        <v>94</v>
      </c>
    </row>
    <row r="197" spans="1:12" x14ac:dyDescent="0.25">
      <c r="A197" s="11"/>
      <c r="B197" s="11"/>
      <c r="C197" s="11"/>
      <c r="D197" s="12"/>
      <c r="E197" s="11"/>
      <c r="F197" s="11"/>
      <c r="G197" s="11"/>
      <c r="H197" s="11"/>
      <c r="I197" s="11"/>
      <c r="J197" s="11"/>
    </row>
    <row r="200" spans="1:12" x14ac:dyDescent="0.25">
      <c r="B200" t="s">
        <v>57</v>
      </c>
    </row>
    <row r="201" spans="1:12" ht="15" customHeight="1" x14ac:dyDescent="0.25"/>
    <row r="203" spans="1:12" ht="15" customHeight="1" x14ac:dyDescent="0.25">
      <c r="C203" s="31"/>
      <c r="D203" s="12"/>
      <c r="E203" s="11"/>
      <c r="F203" s="32"/>
      <c r="G203" s="32"/>
      <c r="H203" s="32"/>
      <c r="I203" s="32"/>
      <c r="J203" s="32"/>
    </row>
    <row r="204" spans="1:12" x14ac:dyDescent="0.25">
      <c r="B204" s="4" t="s">
        <v>63</v>
      </c>
      <c r="F204" s="32"/>
      <c r="G204" s="32"/>
      <c r="H204" s="32"/>
      <c r="I204" s="32"/>
      <c r="J204" s="32"/>
    </row>
    <row r="205" spans="1:12" ht="18" x14ac:dyDescent="0.35">
      <c r="B205" s="6" t="s">
        <v>3</v>
      </c>
      <c r="C205" s="33">
        <f>'PROPIEDADES DE LOS SUELOS'!C16</f>
        <v>28</v>
      </c>
      <c r="D205" s="5" t="s">
        <v>6</v>
      </c>
      <c r="F205" s="32"/>
      <c r="G205" s="32"/>
      <c r="H205" s="32"/>
      <c r="I205" s="32"/>
      <c r="J205" s="32"/>
    </row>
    <row r="206" spans="1:12" ht="18" x14ac:dyDescent="0.35">
      <c r="B206" s="6" t="s">
        <v>4</v>
      </c>
      <c r="C206" s="33">
        <f>'PROPIEDADES DE LOS SUELOS'!C26</f>
        <v>30</v>
      </c>
      <c r="D206" s="5" t="s">
        <v>6</v>
      </c>
      <c r="F206" s="32"/>
      <c r="G206" s="32"/>
      <c r="H206" s="32"/>
      <c r="I206" s="32"/>
      <c r="J206" s="32"/>
    </row>
    <row r="207" spans="1:12" x14ac:dyDescent="0.25">
      <c r="B207" s="6" t="s">
        <v>67</v>
      </c>
      <c r="C207" s="33">
        <f>'PROPIEDADES DEL GEOSINTETICO'!B30</f>
        <v>0</v>
      </c>
      <c r="D207" s="5" t="s">
        <v>6</v>
      </c>
      <c r="E207" s="218" t="s">
        <v>97</v>
      </c>
      <c r="F207" s="218"/>
      <c r="G207" s="218"/>
      <c r="H207" s="218"/>
      <c r="I207" s="218"/>
      <c r="J207" s="218"/>
      <c r="K207" s="218"/>
      <c r="L207" s="218"/>
    </row>
    <row r="208" spans="1:12" x14ac:dyDescent="0.25">
      <c r="E208" s="218"/>
      <c r="F208" s="218"/>
      <c r="G208" s="218"/>
      <c r="H208" s="218"/>
      <c r="I208" s="218"/>
      <c r="J208" s="218"/>
      <c r="K208" s="218"/>
      <c r="L208" s="218"/>
    </row>
    <row r="209" spans="1:12" x14ac:dyDescent="0.25">
      <c r="A209" s="219" t="s">
        <v>120</v>
      </c>
      <c r="B209" s="219"/>
      <c r="C209" s="219"/>
      <c r="D209" s="219"/>
      <c r="E209" s="219"/>
      <c r="F209" s="219"/>
      <c r="G209" s="219"/>
      <c r="H209" s="219"/>
      <c r="I209" s="219"/>
      <c r="J209" s="219"/>
      <c r="K209" s="219"/>
      <c r="L209" s="219"/>
    </row>
    <row r="210" spans="1:12" x14ac:dyDescent="0.25">
      <c r="A210" s="219"/>
      <c r="B210" s="219"/>
      <c r="C210" s="219"/>
      <c r="D210" s="219"/>
      <c r="E210" s="219"/>
      <c r="F210" s="219"/>
      <c r="G210" s="219"/>
      <c r="H210" s="219"/>
      <c r="I210" s="219"/>
      <c r="J210" s="219"/>
      <c r="K210" s="219"/>
      <c r="L210" s="219"/>
    </row>
    <row r="211" spans="1:12" x14ac:dyDescent="0.25">
      <c r="B211" s="4" t="s">
        <v>68</v>
      </c>
      <c r="C211" s="52">
        <f>IF(C207=0,TAN(RADIANS(MIN(C205:C206))),TAN(RADIANS(MIN(C205:C207))))</f>
        <v>0.53170943166147877</v>
      </c>
      <c r="D211" s="5" t="s">
        <v>6</v>
      </c>
      <c r="F211" s="32"/>
      <c r="G211" s="32"/>
      <c r="H211" s="32"/>
      <c r="I211" s="32"/>
      <c r="J211" s="32"/>
    </row>
    <row r="212" spans="1:12" x14ac:dyDescent="0.25">
      <c r="F212" s="32"/>
      <c r="G212" s="32"/>
      <c r="H212" s="32"/>
      <c r="I212" s="32"/>
      <c r="J212" s="32"/>
    </row>
    <row r="213" spans="1:12" x14ac:dyDescent="0.25">
      <c r="B213" t="s">
        <v>69</v>
      </c>
      <c r="F213" s="32"/>
      <c r="G213" s="32"/>
      <c r="H213" s="32"/>
      <c r="I213" s="32"/>
      <c r="J213" s="32"/>
    </row>
    <row r="214" spans="1:12" x14ac:dyDescent="0.25">
      <c r="F214" s="32"/>
      <c r="G214" s="32"/>
      <c r="H214" s="32"/>
      <c r="I214" s="32"/>
      <c r="J214" s="32"/>
    </row>
    <row r="215" spans="1:12" x14ac:dyDescent="0.25">
      <c r="F215" s="32"/>
      <c r="G215" s="32"/>
      <c r="H215" s="32"/>
      <c r="I215" s="32"/>
      <c r="J215" s="32"/>
    </row>
    <row r="216" spans="1:12" x14ac:dyDescent="0.25">
      <c r="C216" s="4" t="s">
        <v>66</v>
      </c>
      <c r="D216" s="34">
        <f>(D132+D144)*C211</f>
        <v>210.6643402431412</v>
      </c>
      <c r="E216" t="s">
        <v>8</v>
      </c>
      <c r="F216" s="32"/>
      <c r="G216" s="32"/>
      <c r="H216" s="32"/>
      <c r="I216" s="32"/>
      <c r="J216" s="32"/>
    </row>
    <row r="218" spans="1:12" x14ac:dyDescent="0.25">
      <c r="B218" t="s">
        <v>70</v>
      </c>
    </row>
    <row r="221" spans="1:12" x14ac:dyDescent="0.25">
      <c r="C221" s="4" t="s">
        <v>71</v>
      </c>
      <c r="D221" s="34">
        <f>SUM(D101:D104)</f>
        <v>110.28669045333334</v>
      </c>
      <c r="E221" t="s">
        <v>8</v>
      </c>
    </row>
    <row r="223" spans="1:12" x14ac:dyDescent="0.25">
      <c r="B223" t="s">
        <v>22</v>
      </c>
    </row>
    <row r="227" spans="1:12" ht="19.5" customHeight="1" x14ac:dyDescent="0.35">
      <c r="C227" s="10" t="s">
        <v>75</v>
      </c>
      <c r="D227" s="12">
        <f>IF(D221=0,0,D216/D221)</f>
        <v>1.9101519809616703</v>
      </c>
      <c r="F227" s="215" t="str">
        <f>IF(D227&gt;=1.5,"CUMPLE CON EL FACTOR DE SEGURIDAD DE DESLIZAMIENTO","NO CUMPLE CON EL FACTOR DE SEGURIDAD DE DESLIZAMIENTO, SE REQUIERE INCREMENTAR LA LONGITUD DE REFUERZO (L) O MEJORAR LAS CONDICIONES DEL SUELO DE DESPLANTE.")</f>
        <v>CUMPLE CON EL FACTOR DE SEGURIDAD DE DESLIZAMIENTO</v>
      </c>
      <c r="G227" s="215"/>
      <c r="H227" s="215"/>
      <c r="I227" s="215"/>
      <c r="J227" s="215"/>
      <c r="K227" s="43"/>
    </row>
    <row r="228" spans="1:12" ht="19.5" customHeight="1" x14ac:dyDescent="0.3">
      <c r="C228" s="10"/>
      <c r="D228" s="12"/>
      <c r="F228" s="215"/>
      <c r="G228" s="215"/>
      <c r="H228" s="215"/>
      <c r="I228" s="215"/>
      <c r="J228" s="215"/>
      <c r="K228" s="43"/>
    </row>
    <row r="229" spans="1:12" ht="15" customHeight="1" x14ac:dyDescent="0.3">
      <c r="F229" s="215"/>
      <c r="G229" s="215"/>
      <c r="H229" s="215"/>
      <c r="I229" s="215"/>
      <c r="J229" s="215"/>
      <c r="K229" s="43"/>
    </row>
    <row r="230" spans="1:12" ht="18.75" x14ac:dyDescent="0.3">
      <c r="A230" s="8" t="s">
        <v>196</v>
      </c>
    </row>
    <row r="235" spans="1:12" ht="19.5" customHeight="1" x14ac:dyDescent="0.35">
      <c r="C235" s="10" t="s">
        <v>74</v>
      </c>
      <c r="D235" s="12">
        <f>IF(D176=0,0,D172/D176)</f>
        <v>3.381721931168066</v>
      </c>
      <c r="F235" s="215" t="str">
        <f>IF(D235&gt;=2.5,"CUMPLE CON EL FACTOR DE SEGURIDAD POR VOLTEO","NO CUMPLE CON EL FACTOR DE SEGURIDAD POR VOLTEO, SE REQUIERE INCREMENTAR LA LONGITUD DE REFUERZO (L)")</f>
        <v>CUMPLE CON EL FACTOR DE SEGURIDAD POR VOLTEO</v>
      </c>
      <c r="G235" s="215"/>
      <c r="H235" s="215"/>
      <c r="I235" s="215"/>
      <c r="J235" s="215"/>
      <c r="K235" s="47"/>
    </row>
    <row r="236" spans="1:12" ht="21" customHeight="1" x14ac:dyDescent="0.25">
      <c r="F236" s="215"/>
      <c r="G236" s="215"/>
      <c r="H236" s="215"/>
      <c r="I236" s="215"/>
      <c r="J236" s="215"/>
      <c r="K236" s="47"/>
    </row>
    <row r="237" spans="1:12" ht="21" customHeight="1" x14ac:dyDescent="0.25">
      <c r="F237" s="215"/>
      <c r="G237" s="215"/>
      <c r="H237" s="215"/>
      <c r="I237" s="215"/>
      <c r="J237" s="215"/>
      <c r="K237" s="47"/>
    </row>
    <row r="239" spans="1:12" ht="18.75" customHeight="1" x14ac:dyDescent="0.3">
      <c r="A239" s="130"/>
      <c r="B239" s="130"/>
      <c r="C239" s="130"/>
      <c r="D239" s="130"/>
      <c r="E239" s="130"/>
      <c r="F239" s="130"/>
      <c r="G239" s="130"/>
      <c r="H239" s="130"/>
      <c r="I239" s="130"/>
      <c r="J239" s="130"/>
      <c r="K239" s="130"/>
      <c r="L239" s="130"/>
    </row>
    <row r="240" spans="1:12" ht="15" customHeight="1" x14ac:dyDescent="0.3">
      <c r="A240" s="130"/>
      <c r="B240" s="130"/>
      <c r="C240" s="130"/>
      <c r="D240" s="130"/>
      <c r="E240" s="130"/>
      <c r="F240" s="130"/>
      <c r="G240" s="130"/>
      <c r="H240" s="130"/>
      <c r="I240" s="130"/>
      <c r="J240" s="130"/>
      <c r="K240" s="130"/>
      <c r="L240" s="130"/>
    </row>
  </sheetData>
  <mergeCells count="14">
    <mergeCell ref="F235:J237"/>
    <mergeCell ref="A35:J35"/>
    <mergeCell ref="C1:I2"/>
    <mergeCell ref="C3:I4"/>
    <mergeCell ref="E12:H12"/>
    <mergeCell ref="D11:I11"/>
    <mergeCell ref="F188:J190"/>
    <mergeCell ref="C192:H192"/>
    <mergeCell ref="C193:H193"/>
    <mergeCell ref="C106:H106"/>
    <mergeCell ref="D107:G107"/>
    <mergeCell ref="E207:L208"/>
    <mergeCell ref="A209:L210"/>
    <mergeCell ref="F227:J229"/>
  </mergeCells>
  <pageMargins left="0.7" right="0.7" top="0.75" bottom="0.75" header="0.3" footer="0.3"/>
  <pageSetup scale="53" orientation="portrait" r:id="rId1"/>
  <rowBreaks count="4" manualBreakCount="4">
    <brk id="52" max="11" man="1"/>
    <brk id="98" max="11" man="1"/>
    <brk id="150" max="11" man="1"/>
    <brk id="229" max="11" man="1"/>
  </rowBreaks>
  <colBreaks count="1" manualBreakCount="1">
    <brk id="12" max="238"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T134"/>
  <sheetViews>
    <sheetView showGridLines="0" topLeftCell="A70" zoomScale="85" zoomScaleNormal="85" zoomScaleSheetLayoutView="70" workbookViewId="0">
      <selection activeCell="E95" sqref="E95"/>
    </sheetView>
  </sheetViews>
  <sheetFormatPr baseColWidth="10" defaultRowHeight="15" x14ac:dyDescent="0.25"/>
  <cols>
    <col min="4" max="4" width="13.85546875" customWidth="1"/>
    <col min="9" max="9" width="14.85546875" customWidth="1"/>
    <col min="15" max="15" width="5.42578125" customWidth="1"/>
  </cols>
  <sheetData>
    <row r="1" spans="1:10" s="5" customFormat="1" x14ac:dyDescent="0.25">
      <c r="D1" s="214" t="s">
        <v>10</v>
      </c>
      <c r="E1" s="214"/>
      <c r="F1" s="214"/>
      <c r="G1" s="214"/>
      <c r="H1" s="214"/>
      <c r="I1" s="214"/>
      <c r="J1" s="214"/>
    </row>
    <row r="2" spans="1:10" s="5" customFormat="1" x14ac:dyDescent="0.25">
      <c r="D2" s="214"/>
      <c r="E2" s="214"/>
      <c r="F2" s="214"/>
      <c r="G2" s="214"/>
      <c r="H2" s="214"/>
      <c r="I2" s="214"/>
      <c r="J2" s="214"/>
    </row>
    <row r="3" spans="1:10" s="5" customFormat="1" x14ac:dyDescent="0.25">
      <c r="D3" s="214" t="s">
        <v>11</v>
      </c>
      <c r="E3" s="214"/>
      <c r="F3" s="214"/>
      <c r="G3" s="214"/>
      <c r="H3" s="214"/>
      <c r="I3" s="214"/>
      <c r="J3" s="214"/>
    </row>
    <row r="4" spans="1:10" s="5" customFormat="1" x14ac:dyDescent="0.25">
      <c r="D4" s="214"/>
      <c r="E4" s="214"/>
      <c r="F4" s="214"/>
      <c r="G4" s="214"/>
      <c r="H4" s="214"/>
      <c r="I4" s="214"/>
      <c r="J4" s="214"/>
    </row>
    <row r="5" spans="1:10" s="5" customFormat="1" x14ac:dyDescent="0.25"/>
    <row r="6" spans="1:10" s="5" customFormat="1" x14ac:dyDescent="0.25"/>
    <row r="7" spans="1:10" s="5" customFormat="1" x14ac:dyDescent="0.25"/>
    <row r="8" spans="1:10" s="5" customFormat="1" x14ac:dyDescent="0.25"/>
    <row r="9" spans="1:10" s="5" customFormat="1" x14ac:dyDescent="0.25"/>
    <row r="11" spans="1:10" ht="23.25" x14ac:dyDescent="0.35">
      <c r="E11" s="217" t="s">
        <v>92</v>
      </c>
      <c r="F11" s="217"/>
      <c r="G11" s="217"/>
      <c r="H11" s="217"/>
      <c r="I11" s="217"/>
      <c r="J11" s="217"/>
    </row>
    <row r="12" spans="1:10" ht="21" x14ac:dyDescent="0.35">
      <c r="E12" s="213" t="s">
        <v>73</v>
      </c>
      <c r="F12" s="213"/>
      <c r="G12" s="213"/>
      <c r="H12" s="213"/>
      <c r="I12" s="213"/>
      <c r="J12" s="213"/>
    </row>
    <row r="14" spans="1:10" ht="18.75" x14ac:dyDescent="0.3">
      <c r="A14" s="8" t="s">
        <v>95</v>
      </c>
    </row>
    <row r="18" spans="1:20" ht="18.75" x14ac:dyDescent="0.35">
      <c r="C18" s="46" t="s">
        <v>89</v>
      </c>
      <c r="D18" s="12">
        <f>IF(('MC ANALISIS EXTERNO'!E125-(2*'MC ANALISIS EXTERNO'!D182))=0,0,(('MC ANALISIS EXTERNO'!D132+'MC ANALISIS EXTERNO'!D144)/('MC ANALISIS EXTERNO'!E125-(2*'MC ANALISIS EXTERNO'!D182)))+'CARGAS CONCENTRADAS'!D59)</f>
        <v>117.44673987075213</v>
      </c>
      <c r="E18" s="11" t="s">
        <v>90</v>
      </c>
    </row>
    <row r="19" spans="1:20" ht="15.75" thickBot="1" x14ac:dyDescent="0.3">
      <c r="Q19" s="220" t="s">
        <v>85</v>
      </c>
      <c r="R19" s="220"/>
      <c r="S19" s="220"/>
      <c r="T19" s="220"/>
    </row>
    <row r="20" spans="1:20" ht="18.75" x14ac:dyDescent="0.3">
      <c r="A20" s="8" t="s">
        <v>175</v>
      </c>
      <c r="Q20" s="35" t="s">
        <v>81</v>
      </c>
      <c r="R20" s="36" t="s">
        <v>82</v>
      </c>
      <c r="S20" s="36" t="s">
        <v>83</v>
      </c>
      <c r="T20" s="37" t="s">
        <v>84</v>
      </c>
    </row>
    <row r="21" spans="1:20" x14ac:dyDescent="0.25">
      <c r="Q21" s="38">
        <v>0</v>
      </c>
      <c r="R21" s="39">
        <v>5.14</v>
      </c>
      <c r="S21" s="39">
        <v>1</v>
      </c>
      <c r="T21" s="41">
        <v>0</v>
      </c>
    </row>
    <row r="22" spans="1:20" x14ac:dyDescent="0.25">
      <c r="Q22" s="38">
        <v>1</v>
      </c>
      <c r="R22" s="39">
        <v>5.38</v>
      </c>
      <c r="S22" s="39">
        <v>1.0900000000000001</v>
      </c>
      <c r="T22" s="41">
        <v>7.0000000000000007E-2</v>
      </c>
    </row>
    <row r="23" spans="1:20" x14ac:dyDescent="0.25">
      <c r="Q23" s="38">
        <v>2</v>
      </c>
      <c r="R23" s="39">
        <v>5.63</v>
      </c>
      <c r="S23" s="39">
        <v>1.2</v>
      </c>
      <c r="T23" s="41">
        <v>0.15</v>
      </c>
    </row>
    <row r="24" spans="1:20" ht="18" x14ac:dyDescent="0.35">
      <c r="B24" t="s">
        <v>76</v>
      </c>
      <c r="C24" s="6" t="s">
        <v>3</v>
      </c>
      <c r="D24" s="33">
        <f>'PROPIEDADES DE LOS SUELOS'!C16</f>
        <v>28</v>
      </c>
      <c r="E24" s="5" t="s">
        <v>6</v>
      </c>
      <c r="Q24" s="38">
        <v>3</v>
      </c>
      <c r="R24" s="39">
        <v>5.9</v>
      </c>
      <c r="S24" s="39">
        <v>1.31</v>
      </c>
      <c r="T24" s="41">
        <v>0.24</v>
      </c>
    </row>
    <row r="25" spans="1:20" x14ac:dyDescent="0.25">
      <c r="Q25" s="38">
        <v>4</v>
      </c>
      <c r="R25" s="39">
        <v>6.19</v>
      </c>
      <c r="S25" s="39">
        <v>1.43</v>
      </c>
      <c r="T25" s="41">
        <v>0.34</v>
      </c>
    </row>
    <row r="26" spans="1:20" x14ac:dyDescent="0.25">
      <c r="B26" t="s">
        <v>77</v>
      </c>
      <c r="Q26" s="38">
        <v>5</v>
      </c>
      <c r="R26" s="39">
        <v>6.49</v>
      </c>
      <c r="S26" s="39">
        <v>1.57</v>
      </c>
      <c r="T26" s="41">
        <v>0.45</v>
      </c>
    </row>
    <row r="27" spans="1:20" x14ac:dyDescent="0.25">
      <c r="Q27" s="38">
        <v>6</v>
      </c>
      <c r="R27" s="39">
        <v>6.81</v>
      </c>
      <c r="S27" s="39">
        <v>1.72</v>
      </c>
      <c r="T27" s="41">
        <v>0.56999999999999995</v>
      </c>
    </row>
    <row r="28" spans="1:20" ht="18" x14ac:dyDescent="0.35">
      <c r="C28" s="4" t="s">
        <v>80</v>
      </c>
      <c r="D28" s="45">
        <f>VLOOKUP(D24,Q21:T68,2,TRUE)</f>
        <v>25.8</v>
      </c>
      <c r="Q28" s="38">
        <v>7</v>
      </c>
      <c r="R28" s="39">
        <v>7.16</v>
      </c>
      <c r="S28" s="39">
        <v>1.88</v>
      </c>
      <c r="T28" s="41">
        <v>0.71</v>
      </c>
    </row>
    <row r="29" spans="1:20" ht="18" x14ac:dyDescent="0.35">
      <c r="C29" s="4" t="s">
        <v>79</v>
      </c>
      <c r="D29" s="45">
        <f>VLOOKUP(D24,'MC ANALISIS INTERNO'!Q21:T68,3,TRUE)</f>
        <v>14.72</v>
      </c>
      <c r="Q29" s="38">
        <v>8</v>
      </c>
      <c r="R29" s="39">
        <v>7.53</v>
      </c>
      <c r="S29" s="39">
        <v>2.06</v>
      </c>
      <c r="T29" s="41">
        <v>0.86</v>
      </c>
    </row>
    <row r="30" spans="1:20" ht="16.5" x14ac:dyDescent="0.3">
      <c r="C30" s="4" t="s">
        <v>78</v>
      </c>
      <c r="D30" s="45">
        <f>VLOOKUP(D24,'MC ANALISIS INTERNO'!Q21:T68,4,TRUE)</f>
        <v>16.72</v>
      </c>
      <c r="Q30" s="38">
        <v>9</v>
      </c>
      <c r="R30" s="39">
        <v>7.92</v>
      </c>
      <c r="S30" s="39">
        <v>2.25</v>
      </c>
      <c r="T30" s="41">
        <v>1.03</v>
      </c>
    </row>
    <row r="31" spans="1:20" x14ac:dyDescent="0.25">
      <c r="Q31" s="38">
        <v>10</v>
      </c>
      <c r="R31" s="39">
        <v>8.35</v>
      </c>
      <c r="S31" s="39">
        <v>2.4700000000000002</v>
      </c>
      <c r="T31" s="41">
        <v>1.22</v>
      </c>
    </row>
    <row r="32" spans="1:20" x14ac:dyDescent="0.25">
      <c r="Q32" s="38">
        <v>11</v>
      </c>
      <c r="R32" s="39">
        <v>8.8000000000000007</v>
      </c>
      <c r="S32" s="39">
        <v>2.71</v>
      </c>
      <c r="T32" s="41">
        <v>1.44</v>
      </c>
    </row>
    <row r="33" spans="1:20" x14ac:dyDescent="0.25">
      <c r="Q33" s="38">
        <v>12</v>
      </c>
      <c r="R33" s="39">
        <v>9.2799999999999994</v>
      </c>
      <c r="S33" s="39">
        <v>2.97</v>
      </c>
      <c r="T33" s="41">
        <v>1.69</v>
      </c>
    </row>
    <row r="34" spans="1:20" ht="18.75" x14ac:dyDescent="0.35">
      <c r="C34" s="10" t="s">
        <v>91</v>
      </c>
      <c r="D34" s="12">
        <f>('PROPIEDADES DE LOS SUELOS'!C15*'MC ANALISIS INTERNO'!D28)+((0.5*('MC ANALISIS EXTERNO'!E125-(2*'MC ANALISIS EXTERNO'!D182))*'PROPIEDADES DE LOS SUELOS'!C14*'MC ANALISIS INTERNO'!D30))</f>
        <v>3017.5610650196713</v>
      </c>
      <c r="E34" s="11" t="s">
        <v>90</v>
      </c>
      <c r="Q34" s="38">
        <v>13</v>
      </c>
      <c r="R34" s="39">
        <v>9.81</v>
      </c>
      <c r="S34" s="39">
        <v>3.26</v>
      </c>
      <c r="T34" s="41">
        <v>1.97</v>
      </c>
    </row>
    <row r="35" spans="1:20" x14ac:dyDescent="0.25">
      <c r="Q35" s="38">
        <v>14</v>
      </c>
      <c r="R35" s="39">
        <v>10.37</v>
      </c>
      <c r="S35" s="39">
        <v>3.59</v>
      </c>
      <c r="T35" s="41">
        <v>2.29</v>
      </c>
    </row>
    <row r="36" spans="1:20" ht="18.75" x14ac:dyDescent="0.3">
      <c r="A36" s="8" t="s">
        <v>86</v>
      </c>
      <c r="Q36" s="38">
        <v>15</v>
      </c>
      <c r="R36" s="39">
        <v>10.98</v>
      </c>
      <c r="S36" s="39">
        <v>3.94</v>
      </c>
      <c r="T36" s="41">
        <v>2.65</v>
      </c>
    </row>
    <row r="37" spans="1:20" x14ac:dyDescent="0.25">
      <c r="Q37" s="38">
        <v>16</v>
      </c>
      <c r="R37" s="39">
        <v>11.63</v>
      </c>
      <c r="S37" s="39">
        <v>4.34</v>
      </c>
      <c r="T37" s="41">
        <v>3.06</v>
      </c>
    </row>
    <row r="38" spans="1:20" x14ac:dyDescent="0.25">
      <c r="B38" t="s">
        <v>96</v>
      </c>
      <c r="Q38" s="38">
        <v>17</v>
      </c>
      <c r="R38" s="39">
        <v>12.34</v>
      </c>
      <c r="S38" s="39">
        <v>4.7699999999999996</v>
      </c>
      <c r="T38" s="41">
        <v>3.53</v>
      </c>
    </row>
    <row r="39" spans="1:20" x14ac:dyDescent="0.25">
      <c r="Q39" s="38">
        <v>18</v>
      </c>
      <c r="R39" s="39">
        <v>13.1</v>
      </c>
      <c r="S39" s="39">
        <v>5.26</v>
      </c>
      <c r="T39" s="41">
        <v>4.07</v>
      </c>
    </row>
    <row r="40" spans="1:20" x14ac:dyDescent="0.25">
      <c r="Q40" s="38">
        <v>19</v>
      </c>
      <c r="R40" s="39">
        <v>13.93</v>
      </c>
      <c r="S40" s="39">
        <v>5.8</v>
      </c>
      <c r="T40" s="41">
        <v>4.68</v>
      </c>
    </row>
    <row r="41" spans="1:20" x14ac:dyDescent="0.25">
      <c r="Q41" s="38">
        <v>20</v>
      </c>
      <c r="R41" s="39">
        <v>14.83</v>
      </c>
      <c r="S41" s="39">
        <v>6.4</v>
      </c>
      <c r="T41" s="41">
        <v>5.39</v>
      </c>
    </row>
    <row r="42" spans="1:20" x14ac:dyDescent="0.25">
      <c r="B42" t="s">
        <v>57</v>
      </c>
      <c r="C42" s="4" t="s">
        <v>87</v>
      </c>
      <c r="D42" s="7">
        <v>2.5</v>
      </c>
      <c r="Q42" s="38">
        <v>21</v>
      </c>
      <c r="R42" s="39">
        <v>15.82</v>
      </c>
      <c r="S42" s="39">
        <v>7.07</v>
      </c>
      <c r="T42" s="41">
        <v>6.2</v>
      </c>
    </row>
    <row r="43" spans="1:20" x14ac:dyDescent="0.25">
      <c r="Q43" s="38">
        <v>22</v>
      </c>
      <c r="R43" s="39">
        <v>16.88</v>
      </c>
      <c r="S43" s="39">
        <v>7.82</v>
      </c>
      <c r="T43" s="41">
        <v>7.13</v>
      </c>
    </row>
    <row r="44" spans="1:20" x14ac:dyDescent="0.25">
      <c r="Q44" s="38">
        <v>23</v>
      </c>
      <c r="R44" s="39">
        <v>18.05</v>
      </c>
      <c r="S44" s="40">
        <v>8.66</v>
      </c>
      <c r="T44" s="41">
        <v>8.1999999999999993</v>
      </c>
    </row>
    <row r="45" spans="1:20" x14ac:dyDescent="0.25">
      <c r="Q45" s="38">
        <v>24</v>
      </c>
      <c r="R45" s="39">
        <v>19.32</v>
      </c>
      <c r="S45" s="39">
        <v>9.6</v>
      </c>
      <c r="T45" s="41">
        <v>9.44</v>
      </c>
    </row>
    <row r="46" spans="1:20" ht="19.5" customHeight="1" x14ac:dyDescent="0.35">
      <c r="C46" s="4" t="s">
        <v>88</v>
      </c>
      <c r="D46" s="34">
        <f>D34/D42</f>
        <v>1207.0244260078684</v>
      </c>
      <c r="E46" s="49" t="s">
        <v>116</v>
      </c>
      <c r="F46" s="215" t="str">
        <f>IF(D18&lt;=D46,"CUMPLE LA CONDICIÓN DE CARGA ADMISIBLE CON RESPECTO AL ESFUERZO VERTICAL APLICADO", "NO CUMPLE LA CONDICIÓN DE CARGA ADMISIBLE, SE REQUIERE INCREMENTAR LA LONGITUD DE REFUERZO (L) O MEJORAR LAS CONDICIONES DEL SUELO DE DESPLANTE")</f>
        <v>CUMPLE LA CONDICIÓN DE CARGA ADMISIBLE CON RESPECTO AL ESFUERZO VERTICAL APLICADO</v>
      </c>
      <c r="G46" s="215"/>
      <c r="H46" s="215"/>
      <c r="I46" s="215"/>
      <c r="J46" s="215"/>
      <c r="Q46" s="38">
        <v>25</v>
      </c>
      <c r="R46" s="39">
        <v>20.72</v>
      </c>
      <c r="S46" s="39">
        <v>10.66</v>
      </c>
      <c r="T46" s="41">
        <v>10.88</v>
      </c>
    </row>
    <row r="47" spans="1:20" ht="20.25" customHeight="1" x14ac:dyDescent="0.25">
      <c r="F47" s="215"/>
      <c r="G47" s="215"/>
      <c r="H47" s="215"/>
      <c r="I47" s="215"/>
      <c r="J47" s="215"/>
      <c r="Q47" s="38">
        <v>26</v>
      </c>
      <c r="R47" s="39">
        <v>22.25</v>
      </c>
      <c r="S47" s="39">
        <v>11.85</v>
      </c>
      <c r="T47" s="41">
        <v>12.54</v>
      </c>
    </row>
    <row r="48" spans="1:20" x14ac:dyDescent="0.25">
      <c r="F48" s="215"/>
      <c r="G48" s="215"/>
      <c r="H48" s="215"/>
      <c r="I48" s="215"/>
      <c r="J48" s="215"/>
      <c r="Q48" s="38">
        <v>27</v>
      </c>
      <c r="R48" s="39">
        <v>23.94</v>
      </c>
      <c r="S48" s="39">
        <v>13.2</v>
      </c>
      <c r="T48" s="41">
        <v>14.47</v>
      </c>
    </row>
    <row r="49" spans="1:20" ht="15" customHeight="1" x14ac:dyDescent="0.35">
      <c r="D49" s="19"/>
      <c r="E49" s="19"/>
      <c r="F49" s="19"/>
      <c r="G49" s="19"/>
      <c r="Q49" s="38">
        <v>28</v>
      </c>
      <c r="R49" s="39">
        <v>25.8</v>
      </c>
      <c r="S49" s="39">
        <v>14.72</v>
      </c>
      <c r="T49" s="41">
        <v>16.72</v>
      </c>
    </row>
    <row r="50" spans="1:20" ht="18.75" x14ac:dyDescent="0.3">
      <c r="A50" s="8"/>
      <c r="B50" t="s">
        <v>98</v>
      </c>
      <c r="Q50" s="38">
        <v>29</v>
      </c>
      <c r="R50" s="39">
        <v>27.86</v>
      </c>
      <c r="S50" s="39">
        <v>16.440000000000001</v>
      </c>
      <c r="T50" s="41">
        <v>19.34</v>
      </c>
    </row>
    <row r="51" spans="1:20" x14ac:dyDescent="0.25">
      <c r="Q51" s="38">
        <v>30</v>
      </c>
      <c r="R51" s="39">
        <v>30.14</v>
      </c>
      <c r="S51" s="39">
        <v>18.399999999999999</v>
      </c>
      <c r="T51" s="41">
        <v>22.4</v>
      </c>
    </row>
    <row r="52" spans="1:20" x14ac:dyDescent="0.25">
      <c r="Q52" s="38">
        <v>31</v>
      </c>
      <c r="R52" s="39">
        <v>32.67</v>
      </c>
      <c r="S52" s="39">
        <v>20.63</v>
      </c>
      <c r="T52" s="41">
        <v>25.9</v>
      </c>
    </row>
    <row r="53" spans="1:20" x14ac:dyDescent="0.25">
      <c r="Q53" s="38">
        <v>32</v>
      </c>
      <c r="R53" s="39">
        <v>35.49</v>
      </c>
      <c r="S53" s="39">
        <v>23.18</v>
      </c>
      <c r="T53" s="41">
        <v>30.22</v>
      </c>
    </row>
    <row r="54" spans="1:20" x14ac:dyDescent="0.25">
      <c r="Q54" s="38">
        <v>33</v>
      </c>
      <c r="R54" s="39">
        <v>38.64</v>
      </c>
      <c r="S54" s="39">
        <v>26.09</v>
      </c>
      <c r="T54" s="41">
        <v>35.19</v>
      </c>
    </row>
    <row r="55" spans="1:20" x14ac:dyDescent="0.25">
      <c r="Q55" s="38">
        <v>37</v>
      </c>
      <c r="R55" s="39">
        <v>55.63</v>
      </c>
      <c r="S55" s="39">
        <v>42.92</v>
      </c>
      <c r="T55" s="41">
        <v>66.19</v>
      </c>
    </row>
    <row r="56" spans="1:20" x14ac:dyDescent="0.25">
      <c r="C56" s="4" t="s">
        <v>221</v>
      </c>
      <c r="D56" s="34">
        <f>((SIN(RADIANS('GEOMETRIA DEL MURO'!F16+'PROPIEDADES DE LOS SUELOS'!C26)))^2)/(((SIN(RADIANS('GEOMETRIA DEL MURO'!F16)))^2)*(SIN(RADIANS('GEOMETRIA DEL MURO'!F16-'GEOMETRIA DEL MURO'!F18)))*(1+((((SIN(RADIANS('PROPIEDADES DE LOS SUELOS'!C26+'GEOMETRIA DEL MURO'!F18)))*(SIN(RADIANS('PROPIEDADES DE LOS SUELOS'!C26-'GEOMETRIA DEL MURO'!F18))))/((SIN(RADIANS('GEOMETRIA DEL MURO'!F16-'GEOMETRIA DEL MURO'!F18)))*(SIN(RADIANS('GEOMETRIA DEL MURO'!F16+'GEOMETRIA DEL MURO'!F18)))))^(1/2)))^2)</f>
        <v>0.33333333333333337</v>
      </c>
      <c r="Q56" s="38">
        <v>38</v>
      </c>
      <c r="R56" s="39">
        <v>61.35</v>
      </c>
      <c r="S56" s="39">
        <v>48.93</v>
      </c>
      <c r="T56" s="41">
        <v>78.03</v>
      </c>
    </row>
    <row r="57" spans="1:20" x14ac:dyDescent="0.25">
      <c r="C57" s="4"/>
      <c r="D57" s="34"/>
      <c r="Q57" s="38">
        <v>39</v>
      </c>
      <c r="R57" s="39">
        <v>37.869999999999997</v>
      </c>
      <c r="S57" s="39">
        <v>55.96</v>
      </c>
      <c r="T57" s="41">
        <v>92.25</v>
      </c>
    </row>
    <row r="58" spans="1:20" x14ac:dyDescent="0.25">
      <c r="B58" s="11" t="s">
        <v>205</v>
      </c>
      <c r="Q58" s="38">
        <v>40</v>
      </c>
      <c r="R58" s="39">
        <v>75.31</v>
      </c>
      <c r="S58" s="39">
        <v>64.2</v>
      </c>
      <c r="T58" s="41">
        <v>109.41</v>
      </c>
    </row>
    <row r="59" spans="1:20" x14ac:dyDescent="0.25">
      <c r="Q59" s="38">
        <v>41</v>
      </c>
      <c r="R59" s="39">
        <v>83.86</v>
      </c>
      <c r="S59" s="39">
        <v>73.900000000000006</v>
      </c>
      <c r="T59" s="41">
        <v>130.22</v>
      </c>
    </row>
    <row r="60" spans="1:20" x14ac:dyDescent="0.25">
      <c r="Q60" s="38">
        <v>42</v>
      </c>
      <c r="R60" s="39">
        <v>93.71</v>
      </c>
      <c r="S60" s="39">
        <v>85.38</v>
      </c>
      <c r="T60" s="41">
        <v>155.55000000000001</v>
      </c>
    </row>
    <row r="61" spans="1:20" x14ac:dyDescent="0.25">
      <c r="Q61" s="38">
        <v>43</v>
      </c>
      <c r="R61" s="39">
        <v>105.11</v>
      </c>
      <c r="S61" s="39">
        <v>99.02</v>
      </c>
      <c r="T61" s="41">
        <v>186.54</v>
      </c>
    </row>
    <row r="62" spans="1:20" x14ac:dyDescent="0.25">
      <c r="C62" s="4"/>
      <c r="D62" s="34"/>
      <c r="Q62" s="38">
        <v>44</v>
      </c>
      <c r="R62" s="39">
        <v>118.37</v>
      </c>
      <c r="S62" s="39">
        <v>115.31</v>
      </c>
      <c r="T62" s="41">
        <v>224.64</v>
      </c>
    </row>
    <row r="63" spans="1:20" x14ac:dyDescent="0.25">
      <c r="C63" s="4"/>
      <c r="D63" s="34"/>
      <c r="Q63" s="38">
        <v>45</v>
      </c>
      <c r="R63" s="39">
        <v>133.88</v>
      </c>
      <c r="S63" s="39">
        <v>134.88</v>
      </c>
      <c r="T63" s="41">
        <v>271.76</v>
      </c>
    </row>
    <row r="64" spans="1:20" ht="18.75" x14ac:dyDescent="0.35">
      <c r="C64" s="46" t="s">
        <v>99</v>
      </c>
      <c r="D64" s="12">
        <f>(D56*D18)+'CARGAS CONCENTRADAS'!D34</f>
        <v>39.148913290250711</v>
      </c>
      <c r="E64" s="11" t="s">
        <v>90</v>
      </c>
      <c r="Q64" s="38">
        <v>46</v>
      </c>
      <c r="R64" s="39">
        <v>152.1</v>
      </c>
      <c r="S64" s="39">
        <v>158.51</v>
      </c>
      <c r="T64" s="41">
        <v>330.35</v>
      </c>
    </row>
    <row r="65" spans="1:20" ht="18.75" x14ac:dyDescent="0.3">
      <c r="A65" s="8" t="s">
        <v>169</v>
      </c>
      <c r="C65" s="4"/>
      <c r="D65" s="34"/>
      <c r="Q65" s="38">
        <v>47</v>
      </c>
      <c r="R65" s="39">
        <v>173.64</v>
      </c>
      <c r="S65" s="39">
        <v>187.21</v>
      </c>
      <c r="T65" s="41">
        <v>403.67</v>
      </c>
    </row>
    <row r="66" spans="1:20" x14ac:dyDescent="0.25">
      <c r="C66" s="4"/>
      <c r="D66" s="34"/>
      <c r="Q66" s="38">
        <v>48</v>
      </c>
      <c r="R66" s="39">
        <v>199.26</v>
      </c>
      <c r="S66" s="39">
        <v>222.31</v>
      </c>
      <c r="T66" s="41">
        <v>496.01</v>
      </c>
    </row>
    <row r="67" spans="1:20" x14ac:dyDescent="0.25">
      <c r="A67" t="s">
        <v>121</v>
      </c>
      <c r="D67" s="99">
        <f>'GEOMETRIA DEL MURO'!F14</f>
        <v>0.5</v>
      </c>
      <c r="E67" t="s">
        <v>7</v>
      </c>
      <c r="Q67" s="38">
        <v>49</v>
      </c>
      <c r="R67" s="39">
        <v>229.93</v>
      </c>
      <c r="S67" s="39">
        <v>265.51</v>
      </c>
      <c r="T67" s="41">
        <v>613.16</v>
      </c>
    </row>
    <row r="68" spans="1:20" ht="15.75" thickBot="1" x14ac:dyDescent="0.3">
      <c r="Q68" s="42">
        <v>50</v>
      </c>
      <c r="R68" s="109">
        <v>266.89</v>
      </c>
      <c r="S68" s="109">
        <v>319.07</v>
      </c>
      <c r="T68" s="110">
        <v>762.89</v>
      </c>
    </row>
    <row r="69" spans="1:20" x14ac:dyDescent="0.25">
      <c r="B69" t="s">
        <v>122</v>
      </c>
    </row>
    <row r="71" spans="1:20" x14ac:dyDescent="0.25">
      <c r="C71" s="4" t="s">
        <v>130</v>
      </c>
      <c r="D71">
        <v>0.5</v>
      </c>
      <c r="E71" t="s">
        <v>7</v>
      </c>
    </row>
    <row r="73" spans="1:20" x14ac:dyDescent="0.25">
      <c r="B73" t="s">
        <v>123</v>
      </c>
    </row>
    <row r="75" spans="1:20" x14ac:dyDescent="0.25">
      <c r="C75" s="4" t="s">
        <v>130</v>
      </c>
      <c r="D75">
        <f>D67</f>
        <v>0.5</v>
      </c>
      <c r="E75" t="s">
        <v>7</v>
      </c>
    </row>
    <row r="77" spans="1:20" ht="18.75" x14ac:dyDescent="0.3">
      <c r="A77" s="8" t="s">
        <v>163</v>
      </c>
    </row>
    <row r="81" spans="1:13" x14ac:dyDescent="0.25">
      <c r="C81" s="4" t="s">
        <v>124</v>
      </c>
      <c r="D81" s="34">
        <f>0.5*'PROPIEDADES DE LOS SUELOS'!C24*(('GEOMETRIA DEL MURO'!F10)^2)*D56</f>
        <v>41.738700000000009</v>
      </c>
      <c r="E81" t="s">
        <v>8</v>
      </c>
    </row>
    <row r="85" spans="1:13" x14ac:dyDescent="0.25">
      <c r="C85" s="4" t="s">
        <v>125</v>
      </c>
      <c r="D85" s="34">
        <f>'CARGAS DISTRIBUIDAS'!B13*('GEOMETRIA DEL MURO'!F10)*D56</f>
        <v>31.083333333333336</v>
      </c>
      <c r="E85" t="s">
        <v>8</v>
      </c>
    </row>
    <row r="87" spans="1:13" x14ac:dyDescent="0.25">
      <c r="B87" t="s">
        <v>126</v>
      </c>
    </row>
    <row r="90" spans="1:13" ht="18" x14ac:dyDescent="0.35">
      <c r="F90" s="4" t="s">
        <v>137</v>
      </c>
      <c r="G90" s="132">
        <f>'PROPIEDADES DEL GEOSINTETICO'!B15</f>
        <v>0.66</v>
      </c>
    </row>
    <row r="92" spans="1:13" ht="18" customHeight="1" x14ac:dyDescent="0.35">
      <c r="C92" s="4" t="s">
        <v>127</v>
      </c>
      <c r="D92" s="45">
        <f>IF(D81+D85=0,0,('PROPIEDADES DE LOS SUELOS'!C24*('GEOMETRIA DEL MURO'!F10)*'MC ANALISIS EXTERNO'!E125*TAN(RADIANS('PROPIEDADES DE LOS SUELOS'!C26))*'MC ANALISIS INTERNO'!G90)/(D81+D85))</f>
        <v>1.5106724168319707</v>
      </c>
      <c r="E92" s="215" t="str">
        <f>IF(D92&gt;=1.48,"CUMPLE CON EL FACTOR DE SEGURIDAD DE DESLIZAMIENTO EN EL PRIMER REFUERZO EN LA PRIMERA CAPA DE REFUERZO","NO CUMPLE CON EL FACTOR DE SEGURIDAD DE DESLIZAMIENTO EN LA PRIMERA CAPA DE REFUERZO, SE REQUIERE INCREMENTAR LA LONGITUD DE REFUERZO(L)")</f>
        <v>CUMPLE CON EL FACTOR DE SEGURIDAD DE DESLIZAMIENTO EN EL PRIMER REFUERZO EN LA PRIMERA CAPA DE REFUERZO</v>
      </c>
      <c r="F92" s="215"/>
      <c r="G92" s="215"/>
      <c r="H92" s="215"/>
      <c r="I92" s="215"/>
      <c r="J92" s="215"/>
      <c r="K92" s="215"/>
      <c r="L92" s="215"/>
      <c r="M92" s="215"/>
    </row>
    <row r="93" spans="1:13" ht="15" customHeight="1" x14ac:dyDescent="0.25">
      <c r="E93" s="215"/>
      <c r="F93" s="215"/>
      <c r="G93" s="215"/>
      <c r="H93" s="215"/>
      <c r="I93" s="215"/>
      <c r="J93" s="215"/>
      <c r="K93" s="215"/>
      <c r="L93" s="215"/>
      <c r="M93" s="215"/>
    </row>
    <row r="94" spans="1:13" ht="15" customHeight="1" x14ac:dyDescent="0.25">
      <c r="E94" s="215"/>
      <c r="F94" s="215"/>
      <c r="G94" s="215"/>
      <c r="H94" s="215"/>
      <c r="I94" s="215"/>
      <c r="J94" s="215"/>
      <c r="K94" s="215"/>
      <c r="L94" s="215"/>
      <c r="M94" s="215"/>
    </row>
    <row r="96" spans="1:13" ht="18.75" x14ac:dyDescent="0.3">
      <c r="A96" s="8" t="s">
        <v>164</v>
      </c>
    </row>
    <row r="100" spans="1:14" x14ac:dyDescent="0.25">
      <c r="E100" s="4" t="s">
        <v>129</v>
      </c>
      <c r="F100" s="81">
        <f>IF(D67=0,0,IF((('GEOMETRIA DEL MURO'!F10/D67))&lt;=0,0,ROUND((('GEOMETRIA DEL MURO'!F10/D67)),0)))</f>
        <v>7</v>
      </c>
      <c r="G100" s="82" t="s">
        <v>174</v>
      </c>
      <c r="H100" s="80"/>
    </row>
    <row r="101" spans="1:14" ht="15.75" thickBot="1" x14ac:dyDescent="0.3">
      <c r="I101" s="11"/>
    </row>
    <row r="102" spans="1:14" ht="32.25" customHeight="1" x14ac:dyDescent="0.25">
      <c r="A102" s="71" t="s">
        <v>128</v>
      </c>
      <c r="B102" s="36" t="s">
        <v>131</v>
      </c>
      <c r="C102" s="36" t="s">
        <v>132</v>
      </c>
      <c r="D102" s="72" t="s">
        <v>133</v>
      </c>
      <c r="E102" s="73"/>
      <c r="F102" s="71" t="s">
        <v>128</v>
      </c>
      <c r="G102" s="36" t="s">
        <v>131</v>
      </c>
      <c r="H102" s="36" t="s">
        <v>132</v>
      </c>
      <c r="I102" s="72" t="s">
        <v>133</v>
      </c>
      <c r="J102" s="73"/>
      <c r="K102" s="71" t="s">
        <v>128</v>
      </c>
      <c r="L102" s="36" t="s">
        <v>131</v>
      </c>
      <c r="M102" s="36" t="s">
        <v>132</v>
      </c>
      <c r="N102" s="72" t="s">
        <v>133</v>
      </c>
    </row>
    <row r="103" spans="1:14" x14ac:dyDescent="0.25">
      <c r="A103" s="57">
        <v>1</v>
      </c>
      <c r="B103" s="54">
        <f>IF(A103&lt;=$F$100,A103*$D$67,"")</f>
        <v>0.5</v>
      </c>
      <c r="C103" s="53">
        <f t="shared" ref="C103:C111" si="0">IF(A103&lt;=$F$100,IF(A103=1,$D$71,IF(A103=$F$100,$D$75,$D$75)),"")</f>
        <v>0.5</v>
      </c>
      <c r="D103" s="67">
        <f>IF(A103&lt;=$F$100,(($D$56*('PROPIEDADES DE LOS SUELOS'!$C$24*B103+'CARGAS DISTRIBUIDAS'!$B$13+'CARGAS CONCENTRADAS'!$D$59)+'CARGAS CONCENTRADAS'!$D$34)*C103),"")</f>
        <v>5.666666666666667</v>
      </c>
      <c r="F103" s="57">
        <v>31</v>
      </c>
      <c r="G103" s="54" t="str">
        <f>IF(F103&lt;=$F$100,F103*$D$67,"")</f>
        <v/>
      </c>
      <c r="H103" s="53" t="str">
        <f t="shared" ref="H103:H132" si="1">IF(F103&lt;=$F$100,IF(F103=1,$D$71,IF(F103=$F$100,$D$75,$D$75)),"")</f>
        <v/>
      </c>
      <c r="I103" s="67" t="str">
        <f>IF(F103&lt;=$F$100,(($D$56*('PROPIEDADES DE LOS SUELOS'!$C$24*G103+'CARGAS DISTRIBUIDAS'!$B$13+'CARGAS CONCENTRADAS'!$D$59)+'CARGAS CONCENTRADAS'!$D$34)*H103),"")</f>
        <v/>
      </c>
      <c r="K103" s="57">
        <v>61</v>
      </c>
      <c r="L103" s="54" t="str">
        <f>IF(K103&lt;=$F$100,K103*$D$67,"")</f>
        <v/>
      </c>
      <c r="M103" s="53" t="str">
        <f t="shared" ref="M103:M132" si="2">IF(K103&lt;=$F$100,IF(K103=1,$D$71,IF(K103=$F$100,$D$75,$D$75)),"")</f>
        <v/>
      </c>
      <c r="N103" s="67" t="str">
        <f>IF(K103&lt;=$F$100,(($D$56*('PROPIEDADES DE LOS SUELOS'!$C$24*L103+'CARGAS DISTRIBUIDAS'!$B$13+'CARGAS CONCENTRADAS'!$D$59)+'CARGAS CONCENTRADAS'!$D$34)*M103),"")</f>
        <v/>
      </c>
    </row>
    <row r="104" spans="1:14" x14ac:dyDescent="0.25">
      <c r="A104" s="57">
        <v>2</v>
      </c>
      <c r="B104" s="54">
        <f t="shared" ref="B104:B132" si="3">IF(A104&lt;=$F$100,A104*$D$67,"")</f>
        <v>1</v>
      </c>
      <c r="C104" s="53">
        <f t="shared" si="0"/>
        <v>0.5</v>
      </c>
      <c r="D104" s="67">
        <f>IF(A104&lt;=$F$100,(($D$56*('PROPIEDADES DE LOS SUELOS'!$C$24*B104+'CARGAS DISTRIBUIDAS'!$B$13+'CARGAS CONCENTRADAS'!$D$59)+'CARGAS CONCENTRADAS'!$D$34)*C104),"")</f>
        <v>7.1666666666666679</v>
      </c>
      <c r="F104" s="57">
        <v>32</v>
      </c>
      <c r="G104" s="54" t="str">
        <f t="shared" ref="G104:G132" si="4">IF(F104&lt;=$F$100,F104*$D$67,"")</f>
        <v/>
      </c>
      <c r="H104" s="53" t="str">
        <f t="shared" si="1"/>
        <v/>
      </c>
      <c r="I104" s="67" t="str">
        <f>IF(F104&lt;=$F$100,(($D$56*('PROPIEDADES DE LOS SUELOS'!$C$24*G104+'CARGAS DISTRIBUIDAS'!$B$13+'CARGAS CONCENTRADAS'!$D$59)+'CARGAS CONCENTRADAS'!$D$34)*H104),"")</f>
        <v/>
      </c>
      <c r="K104" s="57">
        <v>62</v>
      </c>
      <c r="L104" s="54" t="str">
        <f t="shared" ref="L104:L132" si="5">IF(K104&lt;=$F$100,K104*$D$67,"")</f>
        <v/>
      </c>
      <c r="M104" s="53" t="str">
        <f t="shared" si="2"/>
        <v/>
      </c>
      <c r="N104" s="67" t="str">
        <f>IF(K104&lt;=$F$100,(($D$56*('PROPIEDADES DE LOS SUELOS'!$C$24*L104+'CARGAS DISTRIBUIDAS'!$B$13+'CARGAS CONCENTRADAS'!$D$59)+'CARGAS CONCENTRADAS'!$D$34)*M104),"")</f>
        <v/>
      </c>
    </row>
    <row r="105" spans="1:14" x14ac:dyDescent="0.25">
      <c r="A105" s="57">
        <v>3</v>
      </c>
      <c r="B105" s="54">
        <f t="shared" si="3"/>
        <v>1.5</v>
      </c>
      <c r="C105" s="53">
        <f t="shared" si="0"/>
        <v>0.5</v>
      </c>
      <c r="D105" s="67">
        <f>IF(A105&lt;=$F$100,(($D$56*('PROPIEDADES DE LOS SUELOS'!$C$24*B105+'CARGAS DISTRIBUIDAS'!$B$13+'CARGAS CONCENTRADAS'!$D$59)+'CARGAS CONCENTRADAS'!$D$34)*C105),"")</f>
        <v>8.6666666666666679</v>
      </c>
      <c r="F105" s="57">
        <v>33</v>
      </c>
      <c r="G105" s="54" t="str">
        <f t="shared" si="4"/>
        <v/>
      </c>
      <c r="H105" s="53" t="str">
        <f t="shared" si="1"/>
        <v/>
      </c>
      <c r="I105" s="67" t="str">
        <f>IF(F105&lt;=$F$100,(($D$56*('PROPIEDADES DE LOS SUELOS'!$C$24*G105+'CARGAS DISTRIBUIDAS'!$B$13+'CARGAS CONCENTRADAS'!$D$59)+'CARGAS CONCENTRADAS'!$D$34)*H105),"")</f>
        <v/>
      </c>
      <c r="K105" s="57">
        <v>63</v>
      </c>
      <c r="L105" s="54" t="str">
        <f t="shared" si="5"/>
        <v/>
      </c>
      <c r="M105" s="53" t="str">
        <f t="shared" si="2"/>
        <v/>
      </c>
      <c r="N105" s="67" t="str">
        <f>IF(K105&lt;=$F$100,(($D$56*('PROPIEDADES DE LOS SUELOS'!$C$24*L105+'CARGAS DISTRIBUIDAS'!$B$13+'CARGAS CONCENTRADAS'!$D$59)+'CARGAS CONCENTRADAS'!$D$34)*M105),"")</f>
        <v/>
      </c>
    </row>
    <row r="106" spans="1:14" x14ac:dyDescent="0.25">
      <c r="A106" s="57">
        <v>4</v>
      </c>
      <c r="B106" s="54">
        <f t="shared" si="3"/>
        <v>2</v>
      </c>
      <c r="C106" s="53">
        <f t="shared" si="0"/>
        <v>0.5</v>
      </c>
      <c r="D106" s="67">
        <f>IF(A106&lt;=$F$100,(($D$56*('PROPIEDADES DE LOS SUELOS'!$C$24*B106+'CARGAS DISTRIBUIDAS'!$B$13+'CARGAS CONCENTRADAS'!$D$59)+'CARGAS CONCENTRADAS'!$D$34)*C106),"")</f>
        <v>10.166666666666668</v>
      </c>
      <c r="F106" s="57">
        <v>34</v>
      </c>
      <c r="G106" s="54" t="str">
        <f t="shared" si="4"/>
        <v/>
      </c>
      <c r="H106" s="53" t="str">
        <f t="shared" si="1"/>
        <v/>
      </c>
      <c r="I106" s="67" t="str">
        <f>IF(F106&lt;=$F$100,(($D$56*('PROPIEDADES DE LOS SUELOS'!$C$24*G106+'CARGAS DISTRIBUIDAS'!$B$13+'CARGAS CONCENTRADAS'!$D$59)+'CARGAS CONCENTRADAS'!$D$34)*H106),"")</f>
        <v/>
      </c>
      <c r="K106" s="57">
        <v>64</v>
      </c>
      <c r="L106" s="54" t="str">
        <f t="shared" si="5"/>
        <v/>
      </c>
      <c r="M106" s="53" t="str">
        <f t="shared" si="2"/>
        <v/>
      </c>
      <c r="N106" s="67" t="str">
        <f>IF(K106&lt;=$F$100,(($D$56*('PROPIEDADES DE LOS SUELOS'!$C$24*L106+'CARGAS DISTRIBUIDAS'!$B$13+'CARGAS CONCENTRADAS'!$D$59)+'CARGAS CONCENTRADAS'!$D$34)*M106),"")</f>
        <v/>
      </c>
    </row>
    <row r="107" spans="1:14" x14ac:dyDescent="0.25">
      <c r="A107" s="57">
        <v>5</v>
      </c>
      <c r="B107" s="54">
        <f t="shared" si="3"/>
        <v>2.5</v>
      </c>
      <c r="C107" s="53">
        <f t="shared" si="0"/>
        <v>0.5</v>
      </c>
      <c r="D107" s="67">
        <f>IF(A107&lt;=$F$100,(($D$56*('PROPIEDADES DE LOS SUELOS'!$C$24*B107+'CARGAS DISTRIBUIDAS'!$B$13+'CARGAS CONCENTRADAS'!$D$59)+'CARGAS CONCENTRADAS'!$D$34)*C107),"")</f>
        <v>11.666666666666668</v>
      </c>
      <c r="F107" s="57">
        <v>35</v>
      </c>
      <c r="G107" s="54" t="str">
        <f t="shared" si="4"/>
        <v/>
      </c>
      <c r="H107" s="53" t="str">
        <f t="shared" si="1"/>
        <v/>
      </c>
      <c r="I107" s="67" t="str">
        <f>IF(F107&lt;=$F$100,(($D$56*('PROPIEDADES DE LOS SUELOS'!$C$24*G107+'CARGAS DISTRIBUIDAS'!$B$13+'CARGAS CONCENTRADAS'!$D$59)+'CARGAS CONCENTRADAS'!$D$34)*H107),"")</f>
        <v/>
      </c>
      <c r="K107" s="57">
        <v>65</v>
      </c>
      <c r="L107" s="54" t="str">
        <f t="shared" si="5"/>
        <v/>
      </c>
      <c r="M107" s="53" t="str">
        <f t="shared" si="2"/>
        <v/>
      </c>
      <c r="N107" s="67" t="str">
        <f>IF(K107&lt;=$F$100,(($D$56*('PROPIEDADES DE LOS SUELOS'!$C$24*L107+'CARGAS DISTRIBUIDAS'!$B$13+'CARGAS CONCENTRADAS'!$D$59)+'CARGAS CONCENTRADAS'!$D$34)*M107),"")</f>
        <v/>
      </c>
    </row>
    <row r="108" spans="1:14" x14ac:dyDescent="0.25">
      <c r="A108" s="57">
        <v>6</v>
      </c>
      <c r="B108" s="54">
        <f t="shared" si="3"/>
        <v>3</v>
      </c>
      <c r="C108" s="53">
        <f t="shared" si="0"/>
        <v>0.5</v>
      </c>
      <c r="D108" s="67">
        <f>IF(A108&lt;=$F$100,(($D$56*('PROPIEDADES DE LOS SUELOS'!$C$24*B108+'CARGAS DISTRIBUIDAS'!$B$13+'CARGAS CONCENTRADAS'!$D$59)+'CARGAS CONCENTRADAS'!$D$34)*C108),"")</f>
        <v>13.166666666666668</v>
      </c>
      <c r="F108" s="57">
        <v>36</v>
      </c>
      <c r="G108" s="54" t="str">
        <f t="shared" si="4"/>
        <v/>
      </c>
      <c r="H108" s="53" t="str">
        <f t="shared" si="1"/>
        <v/>
      </c>
      <c r="I108" s="67" t="str">
        <f>IF(F108&lt;=$F$100,(($D$56*('PROPIEDADES DE LOS SUELOS'!$C$24*G108+'CARGAS DISTRIBUIDAS'!$B$13+'CARGAS CONCENTRADAS'!$D$59)+'CARGAS CONCENTRADAS'!$D$34)*H108),"")</f>
        <v/>
      </c>
      <c r="K108" s="57">
        <v>66</v>
      </c>
      <c r="L108" s="54" t="str">
        <f t="shared" si="5"/>
        <v/>
      </c>
      <c r="M108" s="53" t="str">
        <f t="shared" si="2"/>
        <v/>
      </c>
      <c r="N108" s="67" t="str">
        <f>IF(K108&lt;=$F$100,(($D$56*('PROPIEDADES DE LOS SUELOS'!$C$24*L108+'CARGAS DISTRIBUIDAS'!$B$13+'CARGAS CONCENTRADAS'!$D$59)+'CARGAS CONCENTRADAS'!$D$34)*M108),"")</f>
        <v/>
      </c>
    </row>
    <row r="109" spans="1:14" x14ac:dyDescent="0.25">
      <c r="A109" s="57">
        <v>7</v>
      </c>
      <c r="B109" s="54">
        <f t="shared" si="3"/>
        <v>3.5</v>
      </c>
      <c r="C109" s="53">
        <f t="shared" si="0"/>
        <v>0.5</v>
      </c>
      <c r="D109" s="67">
        <f>IF(A109&lt;=$F$100,(($D$56*('PROPIEDADES DE LOS SUELOS'!$C$24*B109+'CARGAS DISTRIBUIDAS'!$B$13+'CARGAS CONCENTRADAS'!$D$59)+'CARGAS CONCENTRADAS'!$D$34)*C109),"")</f>
        <v>14.666666666666668</v>
      </c>
      <c r="F109" s="57">
        <v>37</v>
      </c>
      <c r="G109" s="54" t="str">
        <f t="shared" si="4"/>
        <v/>
      </c>
      <c r="H109" s="53" t="str">
        <f t="shared" si="1"/>
        <v/>
      </c>
      <c r="I109" s="67" t="str">
        <f>IF(F109&lt;=$F$100,(($D$56*('PROPIEDADES DE LOS SUELOS'!$C$24*G109+'CARGAS DISTRIBUIDAS'!$B$13+'CARGAS CONCENTRADAS'!$D$59)+'CARGAS CONCENTRADAS'!$D$34)*H109),"")</f>
        <v/>
      </c>
      <c r="K109" s="57">
        <v>67</v>
      </c>
      <c r="L109" s="54" t="str">
        <f t="shared" si="5"/>
        <v/>
      </c>
      <c r="M109" s="53" t="str">
        <f t="shared" si="2"/>
        <v/>
      </c>
      <c r="N109" s="67" t="str">
        <f>IF(K109&lt;=$F$100,(($D$56*('PROPIEDADES DE LOS SUELOS'!$C$24*L109+'CARGAS DISTRIBUIDAS'!$B$13+'CARGAS CONCENTRADAS'!$D$59)+'CARGAS CONCENTRADAS'!$D$34)*M109),"")</f>
        <v/>
      </c>
    </row>
    <row r="110" spans="1:14" x14ac:dyDescent="0.25">
      <c r="A110" s="57">
        <v>8</v>
      </c>
      <c r="B110" s="54" t="str">
        <f t="shared" si="3"/>
        <v/>
      </c>
      <c r="C110" s="53" t="str">
        <f t="shared" si="0"/>
        <v/>
      </c>
      <c r="D110" s="67" t="str">
        <f>IF(A110&lt;=$F$100,(($D$56*('PROPIEDADES DE LOS SUELOS'!$C$24*B110+'CARGAS DISTRIBUIDAS'!$B$13+'CARGAS CONCENTRADAS'!$D$59)+'CARGAS CONCENTRADAS'!$D$34)*C110),"")</f>
        <v/>
      </c>
      <c r="F110" s="57">
        <v>38</v>
      </c>
      <c r="G110" s="54" t="str">
        <f t="shared" si="4"/>
        <v/>
      </c>
      <c r="H110" s="53" t="str">
        <f t="shared" si="1"/>
        <v/>
      </c>
      <c r="I110" s="67" t="str">
        <f>IF(F110&lt;=$F$100,(($D$56*('PROPIEDADES DE LOS SUELOS'!$C$24*G110+'CARGAS DISTRIBUIDAS'!$B$13+'CARGAS CONCENTRADAS'!$D$59)+'CARGAS CONCENTRADAS'!$D$34)*H110),"")</f>
        <v/>
      </c>
      <c r="K110" s="57">
        <v>68</v>
      </c>
      <c r="L110" s="54" t="str">
        <f t="shared" si="5"/>
        <v/>
      </c>
      <c r="M110" s="53" t="str">
        <f t="shared" si="2"/>
        <v/>
      </c>
      <c r="N110" s="67" t="str">
        <f>IF(K110&lt;=$F$100,(($D$56*('PROPIEDADES DE LOS SUELOS'!$C$24*L110+'CARGAS DISTRIBUIDAS'!$B$13+'CARGAS CONCENTRADAS'!$D$59)+'CARGAS CONCENTRADAS'!$D$34)*M110),"")</f>
        <v/>
      </c>
    </row>
    <row r="111" spans="1:14" x14ac:dyDescent="0.25">
      <c r="A111" s="57">
        <v>9</v>
      </c>
      <c r="B111" s="54" t="str">
        <f>IF(A111&lt;=$F$100,A111*$D$67,"")</f>
        <v/>
      </c>
      <c r="C111" s="53" t="str">
        <f t="shared" si="0"/>
        <v/>
      </c>
      <c r="D111" s="67" t="str">
        <f>IF(A111&lt;=$F$100,(($D$56*('PROPIEDADES DE LOS SUELOS'!$C$24*B111+'CARGAS DISTRIBUIDAS'!$B$13+'CARGAS CONCENTRADAS'!$D$59)+'CARGAS CONCENTRADAS'!$D$34)*C111),"")</f>
        <v/>
      </c>
      <c r="F111" s="57">
        <v>39</v>
      </c>
      <c r="G111" s="54" t="str">
        <f t="shared" si="4"/>
        <v/>
      </c>
      <c r="H111" s="53" t="str">
        <f t="shared" si="1"/>
        <v/>
      </c>
      <c r="I111" s="67" t="str">
        <f>IF(F111&lt;=$F$100,(($D$56*('PROPIEDADES DE LOS SUELOS'!$C$24*G111+'CARGAS DISTRIBUIDAS'!$B$13+'CARGAS CONCENTRADAS'!$D$59)+'CARGAS CONCENTRADAS'!$D$34)*H111),"")</f>
        <v/>
      </c>
      <c r="K111" s="57">
        <v>69</v>
      </c>
      <c r="L111" s="54" t="str">
        <f t="shared" si="5"/>
        <v/>
      </c>
      <c r="M111" s="53" t="str">
        <f t="shared" si="2"/>
        <v/>
      </c>
      <c r="N111" s="67" t="str">
        <f>IF(K111&lt;=$F$100,(($D$56*('PROPIEDADES DE LOS SUELOS'!$C$24*L111+'CARGAS DISTRIBUIDAS'!$B$13+'CARGAS CONCENTRADAS'!$D$59)+'CARGAS CONCENTRADAS'!$D$34)*M111),"")</f>
        <v/>
      </c>
    </row>
    <row r="112" spans="1:14" x14ac:dyDescent="0.25">
      <c r="A112" s="57">
        <v>10</v>
      </c>
      <c r="B112" s="54" t="str">
        <f t="shared" si="3"/>
        <v/>
      </c>
      <c r="C112" s="53" t="str">
        <f>IF(A112&lt;=$F$100,IF(A112=1,$D$71,IF(A112=$F$100,$D$75,$D$75)),"")</f>
        <v/>
      </c>
      <c r="D112" s="67" t="str">
        <f>IF(A112&lt;=$F$100,(($D$56*('PROPIEDADES DE LOS SUELOS'!$C$24*B112+'CARGAS DISTRIBUIDAS'!$B$13+'CARGAS CONCENTRADAS'!$D$59)+'CARGAS CONCENTRADAS'!$D$34)*C112),"")</f>
        <v/>
      </c>
      <c r="F112" s="57">
        <v>40</v>
      </c>
      <c r="G112" s="54" t="str">
        <f t="shared" si="4"/>
        <v/>
      </c>
      <c r="H112" s="53" t="str">
        <f t="shared" si="1"/>
        <v/>
      </c>
      <c r="I112" s="67" t="str">
        <f>IF(F112&lt;=$F$100,(($D$56*('PROPIEDADES DE LOS SUELOS'!$C$24*G112+'CARGAS DISTRIBUIDAS'!$B$13+'CARGAS CONCENTRADAS'!$D$59)+'CARGAS CONCENTRADAS'!$D$34)*H112),"")</f>
        <v/>
      </c>
      <c r="K112" s="57">
        <v>70</v>
      </c>
      <c r="L112" s="54" t="str">
        <f t="shared" si="5"/>
        <v/>
      </c>
      <c r="M112" s="53" t="str">
        <f t="shared" si="2"/>
        <v/>
      </c>
      <c r="N112" s="67" t="str">
        <f>IF(K112&lt;=$F$100,(($D$56*('PROPIEDADES DE LOS SUELOS'!$C$24*L112+'CARGAS DISTRIBUIDAS'!$B$13+'CARGAS CONCENTRADAS'!$D$59)+'CARGAS CONCENTRADAS'!$D$34)*M112),"")</f>
        <v/>
      </c>
    </row>
    <row r="113" spans="1:14" x14ac:dyDescent="0.25">
      <c r="A113" s="57">
        <v>11</v>
      </c>
      <c r="B113" s="54" t="str">
        <f t="shared" si="3"/>
        <v/>
      </c>
      <c r="C113" s="53" t="str">
        <f t="shared" ref="C113:C132" si="6">IF(A113&lt;=$F$100,IF(A113=1,$D$71,IF(A113=$F$100,$D$75,$D$75)),"")</f>
        <v/>
      </c>
      <c r="D113" s="67" t="str">
        <f>IF(A113&lt;=$F$100,(($D$56*('PROPIEDADES DE LOS SUELOS'!$C$24*B113+'CARGAS DISTRIBUIDAS'!$B$13+'CARGAS CONCENTRADAS'!$D$59)+'CARGAS CONCENTRADAS'!$D$34)*C113),"")</f>
        <v/>
      </c>
      <c r="F113" s="57">
        <v>41</v>
      </c>
      <c r="G113" s="54" t="str">
        <f t="shared" si="4"/>
        <v/>
      </c>
      <c r="H113" s="53" t="str">
        <f t="shared" si="1"/>
        <v/>
      </c>
      <c r="I113" s="67" t="str">
        <f>IF(F113&lt;=$F$100,(($D$56*('PROPIEDADES DE LOS SUELOS'!$C$24*G113+'CARGAS DISTRIBUIDAS'!$B$13+'CARGAS CONCENTRADAS'!$D$59)+'CARGAS CONCENTRADAS'!$D$34)*H113),"")</f>
        <v/>
      </c>
      <c r="K113" s="57">
        <v>71</v>
      </c>
      <c r="L113" s="54" t="str">
        <f t="shared" si="5"/>
        <v/>
      </c>
      <c r="M113" s="53" t="str">
        <f t="shared" si="2"/>
        <v/>
      </c>
      <c r="N113" s="67" t="str">
        <f>IF(K113&lt;=$F$100,(($D$56*('PROPIEDADES DE LOS SUELOS'!$C$24*L113+'CARGAS DISTRIBUIDAS'!$B$13+'CARGAS CONCENTRADAS'!$D$59)+'CARGAS CONCENTRADAS'!$D$34)*M113),"")</f>
        <v/>
      </c>
    </row>
    <row r="114" spans="1:14" x14ac:dyDescent="0.25">
      <c r="A114" s="57">
        <v>12</v>
      </c>
      <c r="B114" s="54" t="str">
        <f t="shared" si="3"/>
        <v/>
      </c>
      <c r="C114" s="53" t="str">
        <f t="shared" si="6"/>
        <v/>
      </c>
      <c r="D114" s="67" t="str">
        <f>IF(A114&lt;=$F$100,(($D$56*('PROPIEDADES DE LOS SUELOS'!$C$24*B114+'CARGAS DISTRIBUIDAS'!$B$13+'CARGAS CONCENTRADAS'!$D$59)+'CARGAS CONCENTRADAS'!$D$34)*C114),"")</f>
        <v/>
      </c>
      <c r="F114" s="57">
        <v>42</v>
      </c>
      <c r="G114" s="54" t="str">
        <f t="shared" si="4"/>
        <v/>
      </c>
      <c r="H114" s="53" t="str">
        <f t="shared" si="1"/>
        <v/>
      </c>
      <c r="I114" s="67" t="str">
        <f>IF(F114&lt;=$F$100,(($D$56*('PROPIEDADES DE LOS SUELOS'!$C$24*G114+'CARGAS DISTRIBUIDAS'!$B$13+'CARGAS CONCENTRADAS'!$D$59)+'CARGAS CONCENTRADAS'!$D$34)*H114),"")</f>
        <v/>
      </c>
      <c r="K114" s="57">
        <v>72</v>
      </c>
      <c r="L114" s="54" t="str">
        <f t="shared" si="5"/>
        <v/>
      </c>
      <c r="M114" s="53" t="str">
        <f t="shared" si="2"/>
        <v/>
      </c>
      <c r="N114" s="67" t="str">
        <f>IF(K114&lt;=$F$100,(($D$56*('PROPIEDADES DE LOS SUELOS'!$C$24*L114+'CARGAS DISTRIBUIDAS'!$B$13+'CARGAS CONCENTRADAS'!$D$59)+'CARGAS CONCENTRADAS'!$D$34)*M114),"")</f>
        <v/>
      </c>
    </row>
    <row r="115" spans="1:14" x14ac:dyDescent="0.25">
      <c r="A115" s="57">
        <v>13</v>
      </c>
      <c r="B115" s="54" t="str">
        <f t="shared" si="3"/>
        <v/>
      </c>
      <c r="C115" s="53" t="str">
        <f t="shared" si="6"/>
        <v/>
      </c>
      <c r="D115" s="67" t="str">
        <f>IF(A115&lt;=$F$100,(($D$56*('PROPIEDADES DE LOS SUELOS'!$C$24*B115+'CARGAS DISTRIBUIDAS'!$B$13+'CARGAS CONCENTRADAS'!$D$59)+'CARGAS CONCENTRADAS'!$D$34)*C115),"")</f>
        <v/>
      </c>
      <c r="F115" s="57">
        <v>43</v>
      </c>
      <c r="G115" s="54" t="str">
        <f t="shared" si="4"/>
        <v/>
      </c>
      <c r="H115" s="53" t="str">
        <f t="shared" si="1"/>
        <v/>
      </c>
      <c r="I115" s="67" t="str">
        <f>IF(F115&lt;=$F$100,(($D$56*('PROPIEDADES DE LOS SUELOS'!$C$24*G115+'CARGAS DISTRIBUIDAS'!$B$13+'CARGAS CONCENTRADAS'!$D$59)+'CARGAS CONCENTRADAS'!$D$34)*H115),"")</f>
        <v/>
      </c>
      <c r="K115" s="57">
        <v>73</v>
      </c>
      <c r="L115" s="54" t="str">
        <f t="shared" si="5"/>
        <v/>
      </c>
      <c r="M115" s="53" t="str">
        <f t="shared" si="2"/>
        <v/>
      </c>
      <c r="N115" s="67" t="str">
        <f>IF(K115&lt;=$F$100,(($D$56*('PROPIEDADES DE LOS SUELOS'!$C$24*L115+'CARGAS DISTRIBUIDAS'!$B$13+'CARGAS CONCENTRADAS'!$D$59)+'CARGAS CONCENTRADAS'!$D$34)*M115),"")</f>
        <v/>
      </c>
    </row>
    <row r="116" spans="1:14" x14ac:dyDescent="0.25">
      <c r="A116" s="57">
        <v>14</v>
      </c>
      <c r="B116" s="54" t="str">
        <f t="shared" si="3"/>
        <v/>
      </c>
      <c r="C116" s="53" t="str">
        <f t="shared" si="6"/>
        <v/>
      </c>
      <c r="D116" s="67" t="str">
        <f>IF(A116&lt;=$F$100,(($D$56*('PROPIEDADES DE LOS SUELOS'!$C$24*B116+'CARGAS DISTRIBUIDAS'!$B$13+'CARGAS CONCENTRADAS'!$D$59)+'CARGAS CONCENTRADAS'!$D$34)*C116),"")</f>
        <v/>
      </c>
      <c r="F116" s="57">
        <v>44</v>
      </c>
      <c r="G116" s="54" t="str">
        <f t="shared" si="4"/>
        <v/>
      </c>
      <c r="H116" s="53" t="str">
        <f t="shared" si="1"/>
        <v/>
      </c>
      <c r="I116" s="67" t="str">
        <f>IF(F116&lt;=$F$100,(($D$56*('PROPIEDADES DE LOS SUELOS'!$C$24*G116+'CARGAS DISTRIBUIDAS'!$B$13+'CARGAS CONCENTRADAS'!$D$59)+'CARGAS CONCENTRADAS'!$D$34)*H116),"")</f>
        <v/>
      </c>
      <c r="K116" s="57">
        <v>74</v>
      </c>
      <c r="L116" s="54" t="str">
        <f t="shared" si="5"/>
        <v/>
      </c>
      <c r="M116" s="53" t="str">
        <f t="shared" si="2"/>
        <v/>
      </c>
      <c r="N116" s="67" t="str">
        <f>IF(K116&lt;=$F$100,(($D$56*('PROPIEDADES DE LOS SUELOS'!$C$24*L116+'CARGAS DISTRIBUIDAS'!$B$13+'CARGAS CONCENTRADAS'!$D$59)+'CARGAS CONCENTRADAS'!$D$34)*M116),"")</f>
        <v/>
      </c>
    </row>
    <row r="117" spans="1:14" x14ac:dyDescent="0.25">
      <c r="A117" s="57">
        <v>15</v>
      </c>
      <c r="B117" s="54" t="str">
        <f t="shared" si="3"/>
        <v/>
      </c>
      <c r="C117" s="53" t="str">
        <f t="shared" si="6"/>
        <v/>
      </c>
      <c r="D117" s="67" t="str">
        <f>IF(A117&lt;=$F$100,(($D$56*('PROPIEDADES DE LOS SUELOS'!$C$24*B117+'CARGAS DISTRIBUIDAS'!$B$13+'CARGAS CONCENTRADAS'!$D$59)+'CARGAS CONCENTRADAS'!$D$34)*C117),"")</f>
        <v/>
      </c>
      <c r="F117" s="57">
        <v>45</v>
      </c>
      <c r="G117" s="54" t="str">
        <f t="shared" si="4"/>
        <v/>
      </c>
      <c r="H117" s="53" t="str">
        <f t="shared" si="1"/>
        <v/>
      </c>
      <c r="I117" s="67" t="str">
        <f>IF(F117&lt;=$F$100,(($D$56*('PROPIEDADES DE LOS SUELOS'!$C$24*G117+'CARGAS DISTRIBUIDAS'!$B$13+'CARGAS CONCENTRADAS'!$D$59)+'CARGAS CONCENTRADAS'!$D$34)*H117),"")</f>
        <v/>
      </c>
      <c r="K117" s="57">
        <v>75</v>
      </c>
      <c r="L117" s="54" t="str">
        <f t="shared" si="5"/>
        <v/>
      </c>
      <c r="M117" s="53" t="str">
        <f t="shared" si="2"/>
        <v/>
      </c>
      <c r="N117" s="67" t="str">
        <f>IF(K117&lt;=$F$100,(($D$56*('PROPIEDADES DE LOS SUELOS'!$C$24*L117+'CARGAS DISTRIBUIDAS'!$B$13+'CARGAS CONCENTRADAS'!$D$59)+'CARGAS CONCENTRADAS'!$D$34)*M117),"")</f>
        <v/>
      </c>
    </row>
    <row r="118" spans="1:14" x14ac:dyDescent="0.25">
      <c r="A118" s="57">
        <v>16</v>
      </c>
      <c r="B118" s="54" t="str">
        <f t="shared" si="3"/>
        <v/>
      </c>
      <c r="C118" s="53" t="str">
        <f t="shared" si="6"/>
        <v/>
      </c>
      <c r="D118" s="67" t="str">
        <f>IF(A118&lt;=$F$100,(($D$56*('PROPIEDADES DE LOS SUELOS'!$C$24*B118+'CARGAS DISTRIBUIDAS'!$B$13+'CARGAS CONCENTRADAS'!$D$59)+'CARGAS CONCENTRADAS'!$D$34)*C118),"")</f>
        <v/>
      </c>
      <c r="F118" s="57">
        <v>46</v>
      </c>
      <c r="G118" s="54" t="str">
        <f t="shared" si="4"/>
        <v/>
      </c>
      <c r="H118" s="53" t="str">
        <f t="shared" si="1"/>
        <v/>
      </c>
      <c r="I118" s="67" t="str">
        <f>IF(F118&lt;=$F$100,(($D$56*('PROPIEDADES DE LOS SUELOS'!$C$24*G118+'CARGAS DISTRIBUIDAS'!$B$13+'CARGAS CONCENTRADAS'!$D$59)+'CARGAS CONCENTRADAS'!$D$34)*H118),"")</f>
        <v/>
      </c>
      <c r="K118" s="57">
        <v>76</v>
      </c>
      <c r="L118" s="54" t="str">
        <f t="shared" si="5"/>
        <v/>
      </c>
      <c r="M118" s="53" t="str">
        <f t="shared" si="2"/>
        <v/>
      </c>
      <c r="N118" s="67" t="str">
        <f>IF(K118&lt;=$F$100,(($D$56*('PROPIEDADES DE LOS SUELOS'!$C$24*L118+'CARGAS DISTRIBUIDAS'!$B$13+'CARGAS CONCENTRADAS'!$D$59)+'CARGAS CONCENTRADAS'!$D$34)*M118),"")</f>
        <v/>
      </c>
    </row>
    <row r="119" spans="1:14" x14ac:dyDescent="0.25">
      <c r="A119" s="57">
        <v>17</v>
      </c>
      <c r="B119" s="54" t="str">
        <f t="shared" si="3"/>
        <v/>
      </c>
      <c r="C119" s="53" t="str">
        <f t="shared" si="6"/>
        <v/>
      </c>
      <c r="D119" s="67" t="str">
        <f>IF(A119&lt;=$F$100,(($D$56*('PROPIEDADES DE LOS SUELOS'!$C$24*B119+'CARGAS DISTRIBUIDAS'!$B$13+'CARGAS CONCENTRADAS'!$D$59)+'CARGAS CONCENTRADAS'!$D$34)*C119),"")</f>
        <v/>
      </c>
      <c r="F119" s="57">
        <v>47</v>
      </c>
      <c r="G119" s="54" t="str">
        <f t="shared" si="4"/>
        <v/>
      </c>
      <c r="H119" s="53" t="str">
        <f t="shared" si="1"/>
        <v/>
      </c>
      <c r="I119" s="67" t="str">
        <f>IF(F119&lt;=$F$100,(($D$56*('PROPIEDADES DE LOS SUELOS'!$C$24*G119+'CARGAS DISTRIBUIDAS'!$B$13+'CARGAS CONCENTRADAS'!$D$59)+'CARGAS CONCENTRADAS'!$D$34)*H119),"")</f>
        <v/>
      </c>
      <c r="K119" s="57">
        <v>77</v>
      </c>
      <c r="L119" s="54" t="str">
        <f t="shared" si="5"/>
        <v/>
      </c>
      <c r="M119" s="53" t="str">
        <f t="shared" si="2"/>
        <v/>
      </c>
      <c r="N119" s="67" t="str">
        <f>IF(K119&lt;=$F$100,(($D$56*('PROPIEDADES DE LOS SUELOS'!$C$24*L119+'CARGAS DISTRIBUIDAS'!$B$13+'CARGAS CONCENTRADAS'!$D$59)+'CARGAS CONCENTRADAS'!$D$34)*M119),"")</f>
        <v/>
      </c>
    </row>
    <row r="120" spans="1:14" x14ac:dyDescent="0.25">
      <c r="A120" s="57">
        <v>18</v>
      </c>
      <c r="B120" s="54" t="str">
        <f t="shared" si="3"/>
        <v/>
      </c>
      <c r="C120" s="53" t="str">
        <f t="shared" si="6"/>
        <v/>
      </c>
      <c r="D120" s="67" t="str">
        <f>IF(A120&lt;=$F$100,(($D$56*('PROPIEDADES DE LOS SUELOS'!$C$24*B120+'CARGAS DISTRIBUIDAS'!$B$13+'CARGAS CONCENTRADAS'!$D$59)+'CARGAS CONCENTRADAS'!$D$34)*C120),"")</f>
        <v/>
      </c>
      <c r="F120" s="57">
        <v>48</v>
      </c>
      <c r="G120" s="54" t="str">
        <f t="shared" si="4"/>
        <v/>
      </c>
      <c r="H120" s="53" t="str">
        <f t="shared" si="1"/>
        <v/>
      </c>
      <c r="I120" s="67" t="str">
        <f>IF(F120&lt;=$F$100,(($D$56*('PROPIEDADES DE LOS SUELOS'!$C$24*G120+'CARGAS DISTRIBUIDAS'!$B$13+'CARGAS CONCENTRADAS'!$D$59)+'CARGAS CONCENTRADAS'!$D$34)*H120),"")</f>
        <v/>
      </c>
      <c r="K120" s="57">
        <v>78</v>
      </c>
      <c r="L120" s="54" t="str">
        <f t="shared" si="5"/>
        <v/>
      </c>
      <c r="M120" s="53" t="str">
        <f t="shared" si="2"/>
        <v/>
      </c>
      <c r="N120" s="67" t="str">
        <f>IF(K120&lt;=$F$100,(($D$56*('PROPIEDADES DE LOS SUELOS'!$C$24*L120+'CARGAS DISTRIBUIDAS'!$B$13+'CARGAS CONCENTRADAS'!$D$59)+'CARGAS CONCENTRADAS'!$D$34)*M120),"")</f>
        <v/>
      </c>
    </row>
    <row r="121" spans="1:14" x14ac:dyDescent="0.25">
      <c r="A121" s="57">
        <v>19</v>
      </c>
      <c r="B121" s="54" t="str">
        <f t="shared" si="3"/>
        <v/>
      </c>
      <c r="C121" s="53" t="str">
        <f t="shared" si="6"/>
        <v/>
      </c>
      <c r="D121" s="67" t="str">
        <f>IF(A121&lt;=$F$100,(($D$56*('PROPIEDADES DE LOS SUELOS'!$C$24*B121+'CARGAS DISTRIBUIDAS'!$B$13+'CARGAS CONCENTRADAS'!$D$59)+'CARGAS CONCENTRADAS'!$D$34)*C121),"")</f>
        <v/>
      </c>
      <c r="F121" s="57">
        <v>49</v>
      </c>
      <c r="G121" s="54" t="str">
        <f t="shared" si="4"/>
        <v/>
      </c>
      <c r="H121" s="53" t="str">
        <f t="shared" si="1"/>
        <v/>
      </c>
      <c r="I121" s="67" t="str">
        <f>IF(F121&lt;=$F$100,(($D$56*('PROPIEDADES DE LOS SUELOS'!$C$24*G121+'CARGAS DISTRIBUIDAS'!$B$13+'CARGAS CONCENTRADAS'!$D$59)+'CARGAS CONCENTRADAS'!$D$34)*H121),"")</f>
        <v/>
      </c>
      <c r="K121" s="57">
        <v>79</v>
      </c>
      <c r="L121" s="54" t="str">
        <f t="shared" si="5"/>
        <v/>
      </c>
      <c r="M121" s="53" t="str">
        <f t="shared" si="2"/>
        <v/>
      </c>
      <c r="N121" s="67" t="str">
        <f>IF(K121&lt;=$F$100,(($D$56*('PROPIEDADES DE LOS SUELOS'!$C$24*L121+'CARGAS DISTRIBUIDAS'!$B$13+'CARGAS CONCENTRADAS'!$D$59)+'CARGAS CONCENTRADAS'!$D$34)*M121),"")</f>
        <v/>
      </c>
    </row>
    <row r="122" spans="1:14" x14ac:dyDescent="0.25">
      <c r="A122" s="57">
        <v>20</v>
      </c>
      <c r="B122" s="54" t="str">
        <f t="shared" si="3"/>
        <v/>
      </c>
      <c r="C122" s="53" t="str">
        <f t="shared" si="6"/>
        <v/>
      </c>
      <c r="D122" s="67" t="str">
        <f>IF(A122&lt;=$F$100,(($D$56*('PROPIEDADES DE LOS SUELOS'!$C$24*B122+'CARGAS DISTRIBUIDAS'!$B$13+'CARGAS CONCENTRADAS'!$D$59)+'CARGAS CONCENTRADAS'!$D$34)*C122),"")</f>
        <v/>
      </c>
      <c r="F122" s="57">
        <v>50</v>
      </c>
      <c r="G122" s="54" t="str">
        <f t="shared" si="4"/>
        <v/>
      </c>
      <c r="H122" s="53" t="str">
        <f t="shared" si="1"/>
        <v/>
      </c>
      <c r="I122" s="67" t="str">
        <f>IF(F122&lt;=$F$100,(($D$56*('PROPIEDADES DE LOS SUELOS'!$C$24*G122+'CARGAS DISTRIBUIDAS'!$B$13+'CARGAS CONCENTRADAS'!$D$59)+'CARGAS CONCENTRADAS'!$D$34)*H122),"")</f>
        <v/>
      </c>
      <c r="K122" s="57">
        <v>80</v>
      </c>
      <c r="L122" s="54" t="str">
        <f t="shared" si="5"/>
        <v/>
      </c>
      <c r="M122" s="53" t="str">
        <f t="shared" si="2"/>
        <v/>
      </c>
      <c r="N122" s="67" t="str">
        <f>IF(K122&lt;=$F$100,(($D$56*('PROPIEDADES DE LOS SUELOS'!$C$24*L122+'CARGAS DISTRIBUIDAS'!$B$13+'CARGAS CONCENTRADAS'!$D$59)+'CARGAS CONCENTRADAS'!$D$34)*M122),"")</f>
        <v/>
      </c>
    </row>
    <row r="123" spans="1:14" x14ac:dyDescent="0.25">
      <c r="A123" s="57">
        <v>21</v>
      </c>
      <c r="B123" s="54" t="str">
        <f t="shared" si="3"/>
        <v/>
      </c>
      <c r="C123" s="53" t="str">
        <f t="shared" si="6"/>
        <v/>
      </c>
      <c r="D123" s="67" t="str">
        <f>IF(A123&lt;=$F$100,(($D$56*('PROPIEDADES DE LOS SUELOS'!$C$24*B123+'CARGAS DISTRIBUIDAS'!$B$13+'CARGAS CONCENTRADAS'!$D$59)+'CARGAS CONCENTRADAS'!$D$34)*C123),"")</f>
        <v/>
      </c>
      <c r="F123" s="57">
        <v>51</v>
      </c>
      <c r="G123" s="54" t="str">
        <f t="shared" si="4"/>
        <v/>
      </c>
      <c r="H123" s="53" t="str">
        <f t="shared" si="1"/>
        <v/>
      </c>
      <c r="I123" s="67" t="str">
        <f>IF(F123&lt;=$F$100,(($D$56*('PROPIEDADES DE LOS SUELOS'!$C$24*G123+'CARGAS DISTRIBUIDAS'!$B$13+'CARGAS CONCENTRADAS'!$D$59)+'CARGAS CONCENTRADAS'!$D$34)*H123),"")</f>
        <v/>
      </c>
      <c r="K123" s="57">
        <v>81</v>
      </c>
      <c r="L123" s="54" t="str">
        <f t="shared" si="5"/>
        <v/>
      </c>
      <c r="M123" s="53" t="str">
        <f t="shared" si="2"/>
        <v/>
      </c>
      <c r="N123" s="67" t="str">
        <f>IF(K123&lt;=$F$100,(($D$56*('PROPIEDADES DE LOS SUELOS'!$C$24*L123+'CARGAS DISTRIBUIDAS'!$B$13+'CARGAS CONCENTRADAS'!$D$59)+'CARGAS CONCENTRADAS'!$D$34)*M123),"")</f>
        <v/>
      </c>
    </row>
    <row r="124" spans="1:14" x14ac:dyDescent="0.25">
      <c r="A124" s="57">
        <v>22</v>
      </c>
      <c r="B124" s="54" t="str">
        <f t="shared" si="3"/>
        <v/>
      </c>
      <c r="C124" s="53" t="str">
        <f t="shared" si="6"/>
        <v/>
      </c>
      <c r="D124" s="67" t="str">
        <f>IF(A124&lt;=$F$100,(($D$56*('PROPIEDADES DE LOS SUELOS'!$C$24*B124+'CARGAS DISTRIBUIDAS'!$B$13+'CARGAS CONCENTRADAS'!$D$59)+'CARGAS CONCENTRADAS'!$D$34)*C124),"")</f>
        <v/>
      </c>
      <c r="F124" s="57">
        <v>52</v>
      </c>
      <c r="G124" s="54" t="str">
        <f t="shared" si="4"/>
        <v/>
      </c>
      <c r="H124" s="53" t="str">
        <f t="shared" si="1"/>
        <v/>
      </c>
      <c r="I124" s="67" t="str">
        <f>IF(F124&lt;=$F$100,(($D$56*('PROPIEDADES DE LOS SUELOS'!$C$24*G124+'CARGAS DISTRIBUIDAS'!$B$13+'CARGAS CONCENTRADAS'!$D$59)+'CARGAS CONCENTRADAS'!$D$34)*H124),"")</f>
        <v/>
      </c>
      <c r="K124" s="57">
        <v>82</v>
      </c>
      <c r="L124" s="54" t="str">
        <f t="shared" si="5"/>
        <v/>
      </c>
      <c r="M124" s="53" t="str">
        <f t="shared" si="2"/>
        <v/>
      </c>
      <c r="N124" s="67" t="str">
        <f>IF(K124&lt;=$F$100,(($D$56*('PROPIEDADES DE LOS SUELOS'!$C$24*L124+'CARGAS DISTRIBUIDAS'!$B$13+'CARGAS CONCENTRADAS'!$D$59)+'CARGAS CONCENTRADAS'!$D$34)*M124),"")</f>
        <v/>
      </c>
    </row>
    <row r="125" spans="1:14" x14ac:dyDescent="0.25">
      <c r="A125" s="57">
        <v>23</v>
      </c>
      <c r="B125" s="54" t="str">
        <f t="shared" si="3"/>
        <v/>
      </c>
      <c r="C125" s="53" t="str">
        <f t="shared" si="6"/>
        <v/>
      </c>
      <c r="D125" s="67" t="str">
        <f>IF(A125&lt;=$F$100,(($D$56*('PROPIEDADES DE LOS SUELOS'!$C$24*B125+'CARGAS DISTRIBUIDAS'!$B$13+'CARGAS CONCENTRADAS'!$D$59)+'CARGAS CONCENTRADAS'!$D$34)*C125),"")</f>
        <v/>
      </c>
      <c r="F125" s="57">
        <v>53</v>
      </c>
      <c r="G125" s="54" t="str">
        <f t="shared" si="4"/>
        <v/>
      </c>
      <c r="H125" s="53" t="str">
        <f t="shared" si="1"/>
        <v/>
      </c>
      <c r="I125" s="67" t="str">
        <f>IF(F125&lt;=$F$100,(($D$56*('PROPIEDADES DE LOS SUELOS'!$C$24*G125+'CARGAS DISTRIBUIDAS'!$B$13+'CARGAS CONCENTRADAS'!$D$59)+'CARGAS CONCENTRADAS'!$D$34)*H125),"")</f>
        <v/>
      </c>
      <c r="K125" s="57">
        <v>83</v>
      </c>
      <c r="L125" s="54" t="str">
        <f t="shared" si="5"/>
        <v/>
      </c>
      <c r="M125" s="53" t="str">
        <f t="shared" si="2"/>
        <v/>
      </c>
      <c r="N125" s="67" t="str">
        <f>IF(K125&lt;=$F$100,(($D$56*('PROPIEDADES DE LOS SUELOS'!$C$24*L125+'CARGAS DISTRIBUIDAS'!$B$13+'CARGAS CONCENTRADAS'!$D$59)+'CARGAS CONCENTRADAS'!$D$34)*M125),"")</f>
        <v/>
      </c>
    </row>
    <row r="126" spans="1:14" x14ac:dyDescent="0.25">
      <c r="A126" s="57">
        <v>24</v>
      </c>
      <c r="B126" s="54" t="str">
        <f t="shared" si="3"/>
        <v/>
      </c>
      <c r="C126" s="53" t="str">
        <f t="shared" si="6"/>
        <v/>
      </c>
      <c r="D126" s="67" t="str">
        <f>IF(A126&lt;=$F$100,(($D$56*('PROPIEDADES DE LOS SUELOS'!$C$24*B126+'CARGAS DISTRIBUIDAS'!$B$13+'CARGAS CONCENTRADAS'!$D$59)+'CARGAS CONCENTRADAS'!$D$34)*C126),"")</f>
        <v/>
      </c>
      <c r="F126" s="57">
        <v>54</v>
      </c>
      <c r="G126" s="54" t="str">
        <f t="shared" si="4"/>
        <v/>
      </c>
      <c r="H126" s="53" t="str">
        <f t="shared" si="1"/>
        <v/>
      </c>
      <c r="I126" s="67" t="str">
        <f>IF(F126&lt;=$F$100,(($D$56*('PROPIEDADES DE LOS SUELOS'!$C$24*G126+'CARGAS DISTRIBUIDAS'!$B$13+'CARGAS CONCENTRADAS'!$D$59)+'CARGAS CONCENTRADAS'!$D$34)*H126),"")</f>
        <v/>
      </c>
      <c r="K126" s="57">
        <v>84</v>
      </c>
      <c r="L126" s="54" t="str">
        <f t="shared" si="5"/>
        <v/>
      </c>
      <c r="M126" s="53" t="str">
        <f t="shared" si="2"/>
        <v/>
      </c>
      <c r="N126" s="67" t="str">
        <f>IF(K126&lt;=$F$100,(($D$56*('PROPIEDADES DE LOS SUELOS'!$C$24*L126+'CARGAS DISTRIBUIDAS'!$B$13+'CARGAS CONCENTRADAS'!$D$59)+'CARGAS CONCENTRADAS'!$D$34)*M126),"")</f>
        <v/>
      </c>
    </row>
    <row r="127" spans="1:14" x14ac:dyDescent="0.25">
      <c r="A127" s="57">
        <v>25</v>
      </c>
      <c r="B127" s="54" t="str">
        <f t="shared" si="3"/>
        <v/>
      </c>
      <c r="C127" s="53" t="str">
        <f t="shared" si="6"/>
        <v/>
      </c>
      <c r="D127" s="67" t="str">
        <f>IF(A127&lt;=$F$100,(($D$56*('PROPIEDADES DE LOS SUELOS'!$C$24*B127+'CARGAS DISTRIBUIDAS'!$B$13+'CARGAS CONCENTRADAS'!$D$59)+'CARGAS CONCENTRADAS'!$D$34)*C127),"")</f>
        <v/>
      </c>
      <c r="F127" s="57">
        <v>55</v>
      </c>
      <c r="G127" s="54" t="str">
        <f t="shared" si="4"/>
        <v/>
      </c>
      <c r="H127" s="53" t="str">
        <f t="shared" si="1"/>
        <v/>
      </c>
      <c r="I127" s="67" t="str">
        <f>IF(F127&lt;=$F$100,(($D$56*('PROPIEDADES DE LOS SUELOS'!$C$24*G127+'CARGAS DISTRIBUIDAS'!$B$13+'CARGAS CONCENTRADAS'!$D$59)+'CARGAS CONCENTRADAS'!$D$34)*H127),"")</f>
        <v/>
      </c>
      <c r="K127" s="57">
        <v>85</v>
      </c>
      <c r="L127" s="54" t="str">
        <f t="shared" si="5"/>
        <v/>
      </c>
      <c r="M127" s="53" t="str">
        <f t="shared" si="2"/>
        <v/>
      </c>
      <c r="N127" s="67" t="str">
        <f>IF(K127&lt;=$F$100,(($D$56*('PROPIEDADES DE LOS SUELOS'!$C$24*L127+'CARGAS DISTRIBUIDAS'!$B$13+'CARGAS CONCENTRADAS'!$D$59)+'CARGAS CONCENTRADAS'!$D$34)*M127),"")</f>
        <v/>
      </c>
    </row>
    <row r="128" spans="1:14" x14ac:dyDescent="0.25">
      <c r="A128" s="57">
        <v>26</v>
      </c>
      <c r="B128" s="54" t="str">
        <f t="shared" si="3"/>
        <v/>
      </c>
      <c r="C128" s="53" t="str">
        <f t="shared" si="6"/>
        <v/>
      </c>
      <c r="D128" s="67" t="str">
        <f>IF(A128&lt;=$F$100,(($D$56*('PROPIEDADES DE LOS SUELOS'!$C$24*B128+'CARGAS DISTRIBUIDAS'!$B$13+'CARGAS CONCENTRADAS'!$D$59)+'CARGAS CONCENTRADAS'!$D$34)*C128),"")</f>
        <v/>
      </c>
      <c r="F128" s="57">
        <v>56</v>
      </c>
      <c r="G128" s="54" t="str">
        <f t="shared" si="4"/>
        <v/>
      </c>
      <c r="H128" s="53" t="str">
        <f t="shared" si="1"/>
        <v/>
      </c>
      <c r="I128" s="67" t="str">
        <f>IF(F128&lt;=$F$100,(($D$56*('PROPIEDADES DE LOS SUELOS'!$C$24*G128+'CARGAS DISTRIBUIDAS'!$B$13+'CARGAS CONCENTRADAS'!$D$59)+'CARGAS CONCENTRADAS'!$D$34)*H128),"")</f>
        <v/>
      </c>
      <c r="K128" s="57">
        <v>86</v>
      </c>
      <c r="L128" s="54" t="str">
        <f t="shared" si="5"/>
        <v/>
      </c>
      <c r="M128" s="53" t="str">
        <f t="shared" si="2"/>
        <v/>
      </c>
      <c r="N128" s="67" t="str">
        <f>IF(K128&lt;=$F$100,(($D$56*('PROPIEDADES DE LOS SUELOS'!$C$24*L128+'CARGAS DISTRIBUIDAS'!$B$13+'CARGAS CONCENTRADAS'!$D$59)+'CARGAS CONCENTRADAS'!$D$34)*M128),"")</f>
        <v/>
      </c>
    </row>
    <row r="129" spans="1:14" x14ac:dyDescent="0.25">
      <c r="A129" s="57">
        <v>27</v>
      </c>
      <c r="B129" s="54" t="str">
        <f t="shared" si="3"/>
        <v/>
      </c>
      <c r="C129" s="53" t="str">
        <f t="shared" si="6"/>
        <v/>
      </c>
      <c r="D129" s="67" t="str">
        <f>IF(A129&lt;=$F$100,(($D$56*('PROPIEDADES DE LOS SUELOS'!$C$24*B129+'CARGAS DISTRIBUIDAS'!$B$13+'CARGAS CONCENTRADAS'!$D$59)+'CARGAS CONCENTRADAS'!$D$34)*C129),"")</f>
        <v/>
      </c>
      <c r="F129" s="57">
        <v>57</v>
      </c>
      <c r="G129" s="54" t="str">
        <f t="shared" si="4"/>
        <v/>
      </c>
      <c r="H129" s="53" t="str">
        <f t="shared" si="1"/>
        <v/>
      </c>
      <c r="I129" s="67" t="str">
        <f>IF(F129&lt;=$F$100,(($D$56*('PROPIEDADES DE LOS SUELOS'!$C$24*G129+'CARGAS DISTRIBUIDAS'!$B$13+'CARGAS CONCENTRADAS'!$D$59)+'CARGAS CONCENTRADAS'!$D$34)*H129),"")</f>
        <v/>
      </c>
      <c r="K129" s="57">
        <v>87</v>
      </c>
      <c r="L129" s="54" t="str">
        <f t="shared" si="5"/>
        <v/>
      </c>
      <c r="M129" s="53" t="str">
        <f t="shared" si="2"/>
        <v/>
      </c>
      <c r="N129" s="67" t="str">
        <f>IF(K129&lt;=$F$100,(($D$56*('PROPIEDADES DE LOS SUELOS'!$C$24*L129+'CARGAS DISTRIBUIDAS'!$B$13+'CARGAS CONCENTRADAS'!$D$59)+'CARGAS CONCENTRADAS'!$D$34)*M129),"")</f>
        <v/>
      </c>
    </row>
    <row r="130" spans="1:14" x14ac:dyDescent="0.25">
      <c r="A130" s="57">
        <v>28</v>
      </c>
      <c r="B130" s="54" t="str">
        <f t="shared" si="3"/>
        <v/>
      </c>
      <c r="C130" s="53" t="str">
        <f t="shared" si="6"/>
        <v/>
      </c>
      <c r="D130" s="67" t="str">
        <f>IF(A130&lt;=$F$100,(($D$56*('PROPIEDADES DE LOS SUELOS'!$C$24*B130+'CARGAS DISTRIBUIDAS'!$B$13+'CARGAS CONCENTRADAS'!$D$59)+'CARGAS CONCENTRADAS'!$D$34)*C130),"")</f>
        <v/>
      </c>
      <c r="F130" s="57">
        <v>58</v>
      </c>
      <c r="G130" s="54" t="str">
        <f t="shared" si="4"/>
        <v/>
      </c>
      <c r="H130" s="53" t="str">
        <f t="shared" si="1"/>
        <v/>
      </c>
      <c r="I130" s="67" t="str">
        <f>IF(F130&lt;=$F$100,(($D$56*('PROPIEDADES DE LOS SUELOS'!$C$24*G130+'CARGAS DISTRIBUIDAS'!$B$13+'CARGAS CONCENTRADAS'!$D$59)+'CARGAS CONCENTRADAS'!$D$34)*H130),"")</f>
        <v/>
      </c>
      <c r="K130" s="57">
        <v>88</v>
      </c>
      <c r="L130" s="54" t="str">
        <f t="shared" si="5"/>
        <v/>
      </c>
      <c r="M130" s="53" t="str">
        <f t="shared" si="2"/>
        <v/>
      </c>
      <c r="N130" s="67" t="str">
        <f>IF(K130&lt;=$F$100,(($D$56*('PROPIEDADES DE LOS SUELOS'!$C$24*L130+'CARGAS DISTRIBUIDAS'!$B$13+'CARGAS CONCENTRADAS'!$D$59)+'CARGAS CONCENTRADAS'!$D$34)*M130),"")</f>
        <v/>
      </c>
    </row>
    <row r="131" spans="1:14" x14ac:dyDescent="0.25">
      <c r="A131" s="57">
        <v>29</v>
      </c>
      <c r="B131" s="54" t="str">
        <f t="shared" si="3"/>
        <v/>
      </c>
      <c r="C131" s="53" t="str">
        <f t="shared" si="6"/>
        <v/>
      </c>
      <c r="D131" s="67" t="str">
        <f>IF(A131&lt;=$F$100,(($D$56*('PROPIEDADES DE LOS SUELOS'!$C$24*B131+'CARGAS DISTRIBUIDAS'!$B$13+'CARGAS CONCENTRADAS'!$D$59)+'CARGAS CONCENTRADAS'!$D$34)*C131),"")</f>
        <v/>
      </c>
      <c r="F131" s="57">
        <v>59</v>
      </c>
      <c r="G131" s="54" t="str">
        <f t="shared" si="4"/>
        <v/>
      </c>
      <c r="H131" s="53" t="str">
        <f t="shared" si="1"/>
        <v/>
      </c>
      <c r="I131" s="67" t="str">
        <f>IF(F131&lt;=$F$100,(($D$56*('PROPIEDADES DE LOS SUELOS'!$C$24*G131+'CARGAS DISTRIBUIDAS'!$B$13+'CARGAS CONCENTRADAS'!$D$59)+'CARGAS CONCENTRADAS'!$D$34)*H131),"")</f>
        <v/>
      </c>
      <c r="K131" s="57">
        <v>89</v>
      </c>
      <c r="L131" s="54" t="str">
        <f t="shared" si="5"/>
        <v/>
      </c>
      <c r="M131" s="53" t="str">
        <f t="shared" si="2"/>
        <v/>
      </c>
      <c r="N131" s="67" t="str">
        <f>IF(K131&lt;=$F$100,(($D$56*('PROPIEDADES DE LOS SUELOS'!$C$24*L131+'CARGAS DISTRIBUIDAS'!$B$13+'CARGAS CONCENTRADAS'!$D$59)+'CARGAS CONCENTRADAS'!$D$34)*M131),"")</f>
        <v/>
      </c>
    </row>
    <row r="132" spans="1:14" ht="15.75" thickBot="1" x14ac:dyDescent="0.3">
      <c r="A132" s="58">
        <v>30</v>
      </c>
      <c r="B132" s="59" t="str">
        <f t="shared" si="3"/>
        <v/>
      </c>
      <c r="C132" s="60" t="str">
        <f t="shared" si="6"/>
        <v/>
      </c>
      <c r="D132" s="68" t="str">
        <f>IF(A132&lt;=$F$100,(($D$56*('PROPIEDADES DE LOS SUELOS'!$C$24*B132+'CARGAS DISTRIBUIDAS'!$B$13+'CARGAS CONCENTRADAS'!$D$59)+'CARGAS CONCENTRADAS'!$D$34)*C132),"")</f>
        <v/>
      </c>
      <c r="F132" s="58">
        <v>60</v>
      </c>
      <c r="G132" s="59" t="str">
        <f t="shared" si="4"/>
        <v/>
      </c>
      <c r="H132" s="60" t="str">
        <f t="shared" si="1"/>
        <v/>
      </c>
      <c r="I132" s="68" t="str">
        <f>IF(F132&lt;=$F$100,(($D$56*('PROPIEDADES DE LOS SUELOS'!$C$24*G132+'CARGAS DISTRIBUIDAS'!$B$13+'CARGAS CONCENTRADAS'!$D$59)+'CARGAS CONCENTRADAS'!$D$34)*H132),"")</f>
        <v/>
      </c>
      <c r="K132" s="58">
        <v>90</v>
      </c>
      <c r="L132" s="59" t="str">
        <f t="shared" si="5"/>
        <v/>
      </c>
      <c r="M132" s="60" t="str">
        <f t="shared" si="2"/>
        <v/>
      </c>
      <c r="N132" s="68" t="str">
        <f>IF(K132&lt;=$F$100,(($D$56*('PROPIEDADES DE LOS SUELOS'!$C$24*L132+'CARGAS DISTRIBUIDAS'!$B$13+'CARGAS CONCENTRADAS'!$D$59)+'CARGAS CONCENTRADAS'!$D$34)*M132),"")</f>
        <v/>
      </c>
    </row>
    <row r="134" spans="1:14" x14ac:dyDescent="0.25">
      <c r="C134" s="7"/>
    </row>
  </sheetData>
  <mergeCells count="7">
    <mergeCell ref="Q19:T19"/>
    <mergeCell ref="E92:M94"/>
    <mergeCell ref="D1:J2"/>
    <mergeCell ref="D3:J4"/>
    <mergeCell ref="E11:J11"/>
    <mergeCell ref="F46:J48"/>
    <mergeCell ref="E12:J12"/>
  </mergeCells>
  <pageMargins left="0.7" right="0.7" top="0.75" bottom="0.75" header="0.3" footer="0.3"/>
  <pageSetup scale="52" orientation="portrait" r:id="rId1"/>
  <rowBreaks count="1" manualBreakCount="1">
    <brk id="64" max="14" man="1"/>
  </rowBreaks>
  <ignoredErrors>
    <ignoredError sqref="E108:F127 J108:K132 E129:F132 E128:F128"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16</vt:i4>
      </vt:variant>
    </vt:vector>
  </HeadingPairs>
  <TitlesOfParts>
    <vt:vector size="31" baseType="lpstr">
      <vt:lpstr>PRESENTACIÓN</vt:lpstr>
      <vt:lpstr>INICIO</vt:lpstr>
      <vt:lpstr>GEOMETRIA DEL MURO</vt:lpstr>
      <vt:lpstr>PROPIEDADES DE LOS SUELOS</vt:lpstr>
      <vt:lpstr>PROPIEDADES DEL GEOSINTETICO</vt:lpstr>
      <vt:lpstr>CARGAS DISTRIBUIDAS</vt:lpstr>
      <vt:lpstr>CARGAS CONCENTRADAS</vt:lpstr>
      <vt:lpstr>MC ANALISIS EXTERNO</vt:lpstr>
      <vt:lpstr>MC ANALISIS INTERNO</vt:lpstr>
      <vt:lpstr>REVISION</vt:lpstr>
      <vt:lpstr>DISEÑO</vt:lpstr>
      <vt:lpstr>DISEÑO POR SISMO</vt:lpstr>
      <vt:lpstr>DISEÑO FINAL</vt:lpstr>
      <vt:lpstr>REPORTE FINAL</vt:lpstr>
      <vt:lpstr>DISEÑO ALTERNATIVO</vt:lpstr>
      <vt:lpstr>'CARGAS CONCENTRADAS'!Área_de_impresión</vt:lpstr>
      <vt:lpstr>'CARGAS DISTRIBUIDAS'!Área_de_impresión</vt:lpstr>
      <vt:lpstr>DISEÑO!Área_de_impresión</vt:lpstr>
      <vt:lpstr>'DISEÑO ALTERNATIVO'!Área_de_impresión</vt:lpstr>
      <vt:lpstr>'DISEÑO FINAL'!Área_de_impresión</vt:lpstr>
      <vt:lpstr>'DISEÑO POR SISMO'!Área_de_impresión</vt:lpstr>
      <vt:lpstr>'GEOMETRIA DEL MURO'!Área_de_impresión</vt:lpstr>
      <vt:lpstr>INICIO!Área_de_impresión</vt:lpstr>
      <vt:lpstr>'MC ANALISIS EXTERNO'!Área_de_impresión</vt:lpstr>
      <vt:lpstr>'MC ANALISIS INTERNO'!Área_de_impresión</vt:lpstr>
      <vt:lpstr>PRESENTACIÓN!Área_de_impresión</vt:lpstr>
      <vt:lpstr>'PROPIEDADES DE LOS SUELOS'!Área_de_impresión</vt:lpstr>
      <vt:lpstr>'PROPIEDADES DEL GEOSINTETICO'!Área_de_impresión</vt:lpstr>
      <vt:lpstr>'REPORTE FINAL'!Área_de_impresión</vt:lpstr>
      <vt:lpstr>REVISION!Área_de_impresión</vt:lpstr>
      <vt:lpstr>'DISEÑO ALTERNATIVO'!Títulos_a_imprimir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chuzo</dc:creator>
  <cp:lastModifiedBy>Jesus Alberto Gomez Rivera</cp:lastModifiedBy>
  <cp:lastPrinted>2011-07-20T23:24:35Z</cp:lastPrinted>
  <dcterms:created xsi:type="dcterms:W3CDTF">2011-04-29T14:49:12Z</dcterms:created>
  <dcterms:modified xsi:type="dcterms:W3CDTF">2013-02-22T01:06:51Z</dcterms:modified>
</cp:coreProperties>
</file>